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360" yWindow="315" windowWidth="15570" windowHeight="12510"/>
  </bookViews>
  <sheets>
    <sheet name="Расходы КБ" sheetId="3" r:id="rId1"/>
    <sheet name="Расходы" sheetId="2" state="hidden" r:id="rId2"/>
  </sheets>
  <calcPr calcId="125725"/>
</workbook>
</file>

<file path=xl/calcChain.xml><?xml version="1.0" encoding="utf-8"?>
<calcChain xmlns="http://schemas.openxmlformats.org/spreadsheetml/2006/main">
  <c r="E32" i="3"/>
  <c r="G75"/>
  <c r="F75"/>
  <c r="E75"/>
  <c r="G72"/>
  <c r="F72"/>
  <c r="E72"/>
  <c r="E64"/>
  <c r="E61"/>
  <c r="G45"/>
  <c r="F45"/>
  <c r="E45"/>
  <c r="E43"/>
  <c r="G43"/>
  <c r="F43"/>
  <c r="E41"/>
  <c r="G32"/>
  <c r="F32"/>
  <c r="E34"/>
  <c r="G16"/>
  <c r="F16"/>
  <c r="E16"/>
  <c r="F79"/>
  <c r="G79"/>
  <c r="E79"/>
  <c r="D9"/>
  <c r="G9" s="1"/>
  <c r="D10"/>
  <c r="G10" s="1"/>
  <c r="D11"/>
  <c r="G11" s="1"/>
  <c r="D12"/>
  <c r="D13"/>
  <c r="G13" s="1"/>
  <c r="D14"/>
  <c r="D15"/>
  <c r="G15" s="1"/>
  <c r="D16"/>
  <c r="D18"/>
  <c r="G18" s="1"/>
  <c r="D19"/>
  <c r="G19" s="1"/>
  <c r="D21"/>
  <c r="E21" s="1"/>
  <c r="D22"/>
  <c r="E22" s="1"/>
  <c r="D23"/>
  <c r="E23" s="1"/>
  <c r="D24"/>
  <c r="E24" s="1"/>
  <c r="D26"/>
  <c r="F26" s="1"/>
  <c r="D27"/>
  <c r="D28"/>
  <c r="G28" s="1"/>
  <c r="D29"/>
  <c r="F29" s="1"/>
  <c r="D30"/>
  <c r="G30" s="1"/>
  <c r="D31"/>
  <c r="F31" s="1"/>
  <c r="D32"/>
  <c r="D33"/>
  <c r="D34"/>
  <c r="G34" s="1"/>
  <c r="D36"/>
  <c r="G36" s="1"/>
  <c r="D37"/>
  <c r="G37" s="1"/>
  <c r="D38"/>
  <c r="G38" s="1"/>
  <c r="D39"/>
  <c r="G39" s="1"/>
  <c r="D41"/>
  <c r="G41" s="1"/>
  <c r="D42"/>
  <c r="D43"/>
  <c r="D45"/>
  <c r="D46"/>
  <c r="G46" s="1"/>
  <c r="D47"/>
  <c r="D48"/>
  <c r="D49"/>
  <c r="G49" s="1"/>
  <c r="D50"/>
  <c r="G50" s="1"/>
  <c r="D52"/>
  <c r="G52" s="1"/>
  <c r="D53"/>
  <c r="G53" s="1"/>
  <c r="D55"/>
  <c r="F55" s="1"/>
  <c r="D56"/>
  <c r="F56" s="1"/>
  <c r="D57"/>
  <c r="G57" s="1"/>
  <c r="D58"/>
  <c r="F58" s="1"/>
  <c r="D59"/>
  <c r="G59" s="1"/>
  <c r="D60"/>
  <c r="F60" s="1"/>
  <c r="D61"/>
  <c r="G61" s="1"/>
  <c r="D63"/>
  <c r="E63" s="1"/>
  <c r="D64"/>
  <c r="G64" s="1"/>
  <c r="D65"/>
  <c r="G65" s="1"/>
  <c r="D66"/>
  <c r="G66" s="1"/>
  <c r="D67"/>
  <c r="G67" s="1"/>
  <c r="D69"/>
  <c r="G69" s="1"/>
  <c r="D70"/>
  <c r="G70" s="1"/>
  <c r="D71"/>
  <c r="D72"/>
  <c r="D74"/>
  <c r="F74" s="1"/>
  <c r="D75"/>
  <c r="D76"/>
  <c r="D78"/>
  <c r="G78" s="1"/>
  <c r="D80"/>
  <c r="F51" i="2"/>
  <c r="E51"/>
  <c r="D51"/>
  <c r="F79"/>
  <c r="E79"/>
  <c r="D79"/>
  <c r="F77"/>
  <c r="E77"/>
  <c r="D77"/>
  <c r="F76"/>
  <c r="E76"/>
  <c r="D76"/>
  <c r="F75"/>
  <c r="E75"/>
  <c r="D75"/>
  <c r="F73"/>
  <c r="E73"/>
  <c r="D73"/>
  <c r="F72"/>
  <c r="E72"/>
  <c r="D72"/>
  <c r="F71"/>
  <c r="E71"/>
  <c r="D71"/>
  <c r="F70"/>
  <c r="E70"/>
  <c r="D70"/>
  <c r="F68"/>
  <c r="E68"/>
  <c r="D68"/>
  <c r="F67"/>
  <c r="E67"/>
  <c r="D67"/>
  <c r="F66"/>
  <c r="E66"/>
  <c r="D66"/>
  <c r="F65"/>
  <c r="E65"/>
  <c r="D65"/>
  <c r="F64"/>
  <c r="E64"/>
  <c r="D64"/>
  <c r="F62"/>
  <c r="E62"/>
  <c r="D62"/>
  <c r="F61"/>
  <c r="E61"/>
  <c r="D61"/>
  <c r="F60"/>
  <c r="E60"/>
  <c r="D60"/>
  <c r="F59"/>
  <c r="E59"/>
  <c r="D59"/>
  <c r="F58"/>
  <c r="E58"/>
  <c r="D58"/>
  <c r="F57"/>
  <c r="E57"/>
  <c r="D57"/>
  <c r="F56"/>
  <c r="E56"/>
  <c r="D56"/>
  <c r="F54"/>
  <c r="E54"/>
  <c r="D54"/>
  <c r="F53"/>
  <c r="E53"/>
  <c r="D53"/>
  <c r="F47"/>
  <c r="E47"/>
  <c r="F50"/>
  <c r="E50"/>
  <c r="F49"/>
  <c r="E49"/>
  <c r="F48"/>
  <c r="E48"/>
  <c r="F46"/>
  <c r="E46"/>
  <c r="D43"/>
  <c r="E43"/>
  <c r="F43"/>
  <c r="F44"/>
  <c r="E44"/>
  <c r="D44"/>
  <c r="F38"/>
  <c r="E38"/>
  <c r="D38"/>
  <c r="F40"/>
  <c r="E40"/>
  <c r="D40"/>
  <c r="F39"/>
  <c r="E39"/>
  <c r="D39"/>
  <c r="F37"/>
  <c r="E37"/>
  <c r="D37"/>
  <c r="F33"/>
  <c r="E33"/>
  <c r="D33"/>
  <c r="F28"/>
  <c r="E28"/>
  <c r="D28"/>
  <c r="F30"/>
  <c r="F35"/>
  <c r="E35"/>
  <c r="D35"/>
  <c r="F34"/>
  <c r="E34"/>
  <c r="D34"/>
  <c r="F32"/>
  <c r="E32"/>
  <c r="D32"/>
  <c r="F31"/>
  <c r="E31"/>
  <c r="D31"/>
  <c r="E30"/>
  <c r="D30"/>
  <c r="F29"/>
  <c r="E29"/>
  <c r="D29"/>
  <c r="F27"/>
  <c r="E27"/>
  <c r="D27"/>
  <c r="F23"/>
  <c r="E23"/>
  <c r="D23"/>
  <c r="F25"/>
  <c r="E25"/>
  <c r="D25"/>
  <c r="F24"/>
  <c r="E24"/>
  <c r="D24"/>
  <c r="F22"/>
  <c r="E22"/>
  <c r="D22"/>
  <c r="F21"/>
  <c r="E21"/>
  <c r="D21"/>
  <c r="F19"/>
  <c r="F18"/>
  <c r="E19"/>
  <c r="E18"/>
  <c r="D19"/>
  <c r="D18"/>
  <c r="F11"/>
  <c r="E11"/>
  <c r="D11"/>
  <c r="F16"/>
  <c r="E16"/>
  <c r="D16"/>
  <c r="F14"/>
  <c r="E14"/>
  <c r="D14"/>
  <c r="F13"/>
  <c r="E13"/>
  <c r="D13"/>
  <c r="F12"/>
  <c r="E12"/>
  <c r="D12"/>
  <c r="F10"/>
  <c r="E10"/>
  <c r="D10"/>
  <c r="F9"/>
  <c r="E9"/>
  <c r="D9"/>
  <c r="F21" i="3" l="1"/>
  <c r="F23"/>
  <c r="G21"/>
  <c r="G23"/>
  <c r="E26"/>
  <c r="E31"/>
  <c r="E29"/>
  <c r="F34"/>
  <c r="F30"/>
  <c r="F28"/>
  <c r="G26"/>
  <c r="G31"/>
  <c r="G29"/>
  <c r="E39"/>
  <c r="E37"/>
  <c r="F39"/>
  <c r="F37"/>
  <c r="F41"/>
  <c r="E49"/>
  <c r="F49"/>
  <c r="E52"/>
  <c r="F52"/>
  <c r="E60"/>
  <c r="E56"/>
  <c r="F61"/>
  <c r="F59"/>
  <c r="F57"/>
  <c r="G55"/>
  <c r="G60"/>
  <c r="G58"/>
  <c r="G56"/>
  <c r="G63"/>
  <c r="E65"/>
  <c r="F67"/>
  <c r="F65"/>
  <c r="E69"/>
  <c r="F69"/>
  <c r="F70"/>
  <c r="G74"/>
  <c r="F78"/>
  <c r="F24"/>
  <c r="F22"/>
  <c r="G24"/>
  <c r="G22"/>
  <c r="E30"/>
  <c r="E28"/>
  <c r="E36"/>
  <c r="E38"/>
  <c r="F36"/>
  <c r="F38"/>
  <c r="E50"/>
  <c r="E46"/>
  <c r="F50"/>
  <c r="F46"/>
  <c r="E53"/>
  <c r="F53"/>
  <c r="F63"/>
  <c r="F66"/>
  <c r="F64"/>
  <c r="E70"/>
  <c r="E78"/>
  <c r="E10"/>
  <c r="F10"/>
  <c r="E19"/>
  <c r="F19"/>
  <c r="E9"/>
  <c r="E15"/>
  <c r="E13"/>
  <c r="E11"/>
  <c r="F9"/>
  <c r="F15"/>
  <c r="F13"/>
  <c r="F11"/>
  <c r="E18"/>
  <c r="F18"/>
  <c r="F82" i="2"/>
  <c r="E82"/>
  <c r="D47"/>
  <c r="D50"/>
  <c r="D49"/>
  <c r="D48"/>
  <c r="D82"/>
  <c r="D46"/>
</calcChain>
</file>

<file path=xl/sharedStrings.xml><?xml version="1.0" encoding="utf-8"?>
<sst xmlns="http://schemas.openxmlformats.org/spreadsheetml/2006/main" count="304" uniqueCount="156">
  <si>
    <t xml:space="preserve"> Наименование показателя</t>
  </si>
  <si>
    <t xml:space="preserve"> ОБЩЕГОСУДАРСТВЕННЫЕ ВОПРОСЫ</t>
  </si>
  <si>
    <t xml:space="preserve"> Функционирование высшего должностного лица субъекта Российской Федерации и муниципального образования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</si>
  <si>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</si>
  <si>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</si>
  <si>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Судебная система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</si>
  <si>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</si>
  <si>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Обеспечение проведения выборов и референдумов</t>
  </si>
  <si>
    <t xml:space="preserve"> Резервные фонды</t>
  </si>
  <si>
    <t xml:space="preserve"> Другие общегосударственные вопросы</t>
  </si>
  <si>
    <t xml:space="preserve"> НАЦИОНАЛЬНАЯ ОБОРОНА</t>
  </si>
  <si>
    <t xml:space="preserve"> Мобилизационная и вневойсковая подготовка</t>
  </si>
  <si>
    <t xml:space="preserve"> Мобилизационная подготовка экономики</t>
  </si>
  <si>
    <t xml:space="preserve"> НАЦИОНАЛЬНАЯ БЕЗОПАСНОСТЬ И ПРАВООХРАНИТЕЛЬНАЯ ДЕЯТЕЛЬНОСТЬ</t>
  </si>
  <si>
    <t xml:space="preserve"> Органы внутренних дел</t>
  </si>
  <si>
    <t xml:space="preserve">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</si>
  <si>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Обеспечение пожарной безопасности</t>
  </si>
  <si>
    <t xml:space="preserve"> Миграционная политика</t>
  </si>
  <si>
    <t xml:space="preserve"> Другие вопросы в области национальной безопасности и правоохранительной деятельности</t>
  </si>
  <si>
    <t xml:space="preserve"> НАЦИОНАЛЬНАЯ ЭКОНОМИКА</t>
  </si>
  <si>
    <t xml:space="preserve"> Общеэкономические вопросы</t>
  </si>
  <si>
    <t xml:space="preserve"> Воспроизводство минерально-сырьевой базы</t>
  </si>
  <si>
    <t xml:space="preserve"> Сельское хозяйство и рыболовство</t>
  </si>
  <si>
    <t xml:space="preserve"> Водное хозяйство</t>
  </si>
  <si>
    <t xml:space="preserve"> Лесное хозяйство</t>
  </si>
  <si>
    <t xml:space="preserve"> Транспорт</t>
  </si>
  <si>
    <t xml:space="preserve"> Дорожное хозяйство (дорожные фонды)</t>
  </si>
  <si>
    <t xml:space="preserve"> Связь и информатика</t>
  </si>
  <si>
    <t xml:space="preserve"> Другие вопросы в области национальной экономики</t>
  </si>
  <si>
    <t xml:space="preserve"> ЖИЛИЩНО-КОММУНАЛЬНОЕ ХОЗЯЙСТВО</t>
  </si>
  <si>
    <t xml:space="preserve"> Жилищное хозяйство</t>
  </si>
  <si>
    <t xml:space="preserve"> Коммунальное хозяйство</t>
  </si>
  <si>
    <t xml:space="preserve"> Благоустройство</t>
  </si>
  <si>
    <t xml:space="preserve"> Другие вопросы в области жилищно-коммунального хозяйства</t>
  </si>
  <si>
    <t xml:space="preserve"> ОХРАНА ОКРУЖАЮЩЕЙ СРЕДЫ</t>
  </si>
  <si>
    <t xml:space="preserve"> Сбор, удаление отходов и очистка сточных вод</t>
  </si>
  <si>
    <t xml:space="preserve"> Охрана объектов растительного и животного мира и среды их обитания</t>
  </si>
  <si>
    <t xml:space="preserve"> Другие вопросы в области охраны окружающей среды</t>
  </si>
  <si>
    <t xml:space="preserve"> ОБРАЗОВАНИЕ</t>
  </si>
  <si>
    <t xml:space="preserve"> Дошкольное образование</t>
  </si>
  <si>
    <t xml:space="preserve"> Общее образование</t>
  </si>
  <si>
    <t xml:space="preserve"> Среднее профессиональное образование</t>
  </si>
  <si>
    <t xml:space="preserve"> Профессиональная подготовка, переподготовка и повышение квалификации</t>
  </si>
  <si>
    <t xml:space="preserve"> Молодежная политика и оздоровление детей</t>
  </si>
  <si>
    <t xml:space="preserve"> Другие вопросы в области образования</t>
  </si>
  <si>
    <t xml:space="preserve"> КУЛЬТУРА, КИНЕМАТОГРАФИЯ</t>
  </si>
  <si>
    <t xml:space="preserve"> Культура</t>
  </si>
  <si>
    <t xml:space="preserve"> Другие вопросы в области культуры, кинематографии</t>
  </si>
  <si>
    <t xml:space="preserve"> ЗДРАВООХРАНЕНИЕ</t>
  </si>
  <si>
    <t xml:space="preserve"> Стационарная медицинская помощь</t>
  </si>
  <si>
    <t xml:space="preserve"> Амбулаторная помощь</t>
  </si>
  <si>
    <t xml:space="preserve"> Медицинская помощь в дневных стационарах всех типов</t>
  </si>
  <si>
    <t xml:space="preserve"> Скорая медицинская помощь</t>
  </si>
  <si>
    <t xml:space="preserve"> Санаторно-оздоровительная помощь</t>
  </si>
  <si>
    <t xml:space="preserve"> Заготовка, переработка, хранение и обеспечение безопасности донорской крови и её компонентов</t>
  </si>
  <si>
    <t xml:space="preserve"> Другие вопросы в области здравоохранения</t>
  </si>
  <si>
    <t xml:space="preserve"> СОЦИАЛЬНАЯ ПОЛИТИКА</t>
  </si>
  <si>
    <t xml:space="preserve"> Пенсионное обеспечение</t>
  </si>
  <si>
    <t xml:space="preserve"> Социальное обслуживание населения</t>
  </si>
  <si>
    <t xml:space="preserve"> Социальное обеспечение населения</t>
  </si>
  <si>
    <t xml:space="preserve"> Охрана семьи и детства</t>
  </si>
  <si>
    <t xml:space="preserve"> Другие вопросы в области социальной политики</t>
  </si>
  <si>
    <t xml:space="preserve"> ФИЗИЧЕСКАЯ КУЛЬТУРА И СПОРТ</t>
  </si>
  <si>
    <t xml:space="preserve"> Физическая культура</t>
  </si>
  <si>
    <t xml:space="preserve"> Массовый спорт</t>
  </si>
  <si>
    <t xml:space="preserve"> Спорт высших достижений</t>
  </si>
  <si>
    <t xml:space="preserve"> Другие вопросы в области физической культуры и спорта</t>
  </si>
  <si>
    <t xml:space="preserve"> СРЕДСТВА МАССОВОЙ ИНФОРМАЦИИ</t>
  </si>
  <si>
    <t xml:space="preserve"> Телевидение и радиовещание</t>
  </si>
  <si>
    <t xml:space="preserve"> Периодическая печать и издательства</t>
  </si>
  <si>
    <t xml:space="preserve"> Другие вопросы в области средств массовой информации</t>
  </si>
  <si>
    <t xml:space="preserve"> ОБСЛУЖИВАНИЕ ГОСУДАРСТВЕННОГО И МУНИЦИПАЛЬНОГО ДОЛГА</t>
  </si>
  <si>
    <t xml:space="preserve"> Обслуживание государственного внутреннего и муниципального долга</t>
  </si>
  <si>
    <t>0100</t>
  </si>
  <si>
    <t>0102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</si>
  <si>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</si>
  <si>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</si>
  <si>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</si>
  <si>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</si>
  <si>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</si>
  <si>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</si>
  <si>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</si>
  <si>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</si>
  <si>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</si>
  <si>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0204</t>
  </si>
  <si>
    <t>0300</t>
  </si>
  <si>
    <t>0302</t>
  </si>
  <si>
    <t>0309</t>
  </si>
  <si>
    <t>0310</t>
  </si>
  <si>
    <t>0311</t>
  </si>
  <si>
    <t>0314</t>
  </si>
  <si>
    <t>0400</t>
  </si>
  <si>
    <t>0401</t>
  </si>
  <si>
    <t>0404</t>
  </si>
  <si>
    <t>0405</t>
  </si>
  <si>
    <t>0406</t>
  </si>
  <si>
    <t>0407</t>
  </si>
  <si>
    <t>0408</t>
  </si>
  <si>
    <t>0409</t>
  </si>
  <si>
    <t>0410</t>
  </si>
  <si>
    <t>0412</t>
  </si>
  <si>
    <t>0500</t>
  </si>
  <si>
    <t>0501</t>
  </si>
  <si>
    <t>0502</t>
  </si>
  <si>
    <t>0503</t>
  </si>
  <si>
    <t>0505</t>
  </si>
  <si>
    <t>0600</t>
  </si>
  <si>
    <t>0602</t>
  </si>
  <si>
    <t>0603</t>
  </si>
  <si>
    <t>0605</t>
  </si>
  <si>
    <t>0700</t>
  </si>
  <si>
    <t>0701</t>
  </si>
  <si>
    <t>0702</t>
  </si>
  <si>
    <t>0704</t>
  </si>
  <si>
    <t>0705</t>
  </si>
  <si>
    <t>0707</t>
  </si>
  <si>
    <t>0709</t>
  </si>
  <si>
    <t>0800</t>
  </si>
  <si>
    <t>0801</t>
  </si>
  <si>
    <t>0804</t>
  </si>
  <si>
    <t>0900</t>
  </si>
  <si>
    <t>0901</t>
  </si>
  <si>
    <t>0902</t>
  </si>
  <si>
    <t>0903</t>
  </si>
  <si>
    <t>0904</t>
  </si>
  <si>
    <t>0905</t>
  </si>
  <si>
    <t>0906</t>
  </si>
  <si>
    <t>0909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</si>
  <si>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</si>
  <si>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</si>
  <si>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</si>
  <si>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</si>
  <si>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</si>
  <si>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</si>
  <si>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</si>
  <si>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</si>
  <si>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</si>
  <si>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</si>
  <si>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</si>
  <si>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</si>
  <si>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</si>
  <si>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</si>
  <si>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</si>
  <si>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</si>
  <si>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</si>
  <si>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Раздел,
подраздел</t>
  </si>
  <si>
    <t xml:space="preserve">Наименование </t>
  </si>
  <si>
    <t>2015 год</t>
  </si>
  <si>
    <t>2016 год</t>
  </si>
  <si>
    <t>2017 год</t>
  </si>
  <si>
    <t xml:space="preserve">ВСЕГО РАСХОДОВ </t>
  </si>
  <si>
    <t>тыс. рублей</t>
  </si>
  <si>
    <t>Сведения о расходах консолидированного бюджета Удмуртской Республики
в разрезе функциональной классификации за 2015-2017 годы</t>
  </si>
  <si>
    <t>ВСЕГО</t>
  </si>
  <si>
    <t>Обслуживание государственного внутреннего и муниципального долга</t>
  </si>
  <si>
    <t>Прогноз консолидированного бюджета Удмуртской Республики  на 2015-2017 годы
(расходы в разрезе функциональной классификации)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</si>
</sst>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0"/>
      <name val="Arial Cyr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wrapText="1"/>
    </xf>
    <xf numFmtId="164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164" fontId="4" fillId="0" borderId="3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4" fontId="6" fillId="0" borderId="0" xfId="0" applyNumberFormat="1" applyFont="1" applyFill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wrapText="1"/>
    </xf>
    <xf numFmtId="49" fontId="3" fillId="0" borderId="2" xfId="0" applyNumberFormat="1" applyFont="1" applyFill="1" applyBorder="1" applyAlignment="1">
      <alignment horizontal="center" wrapText="1"/>
    </xf>
    <xf numFmtId="49" fontId="5" fillId="0" borderId="2" xfId="0" applyNumberFormat="1" applyFont="1" applyFill="1" applyBorder="1" applyAlignment="1">
      <alignment horizontal="center" wrapText="1"/>
    </xf>
    <xf numFmtId="164" fontId="4" fillId="0" borderId="2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 vertical="center"/>
    </xf>
    <xf numFmtId="164" fontId="2" fillId="0" borderId="2" xfId="0" applyNumberFormat="1" applyFont="1" applyFill="1" applyBorder="1" applyAlignment="1">
      <alignment horizontal="left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3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164" fontId="7" fillId="0" borderId="2" xfId="0" applyNumberFormat="1" applyFont="1" applyFill="1" applyBorder="1"/>
    <xf numFmtId="4" fontId="8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/>
    <xf numFmtId="4" fontId="10" fillId="0" borderId="2" xfId="0" applyNumberFormat="1" applyFont="1" applyFill="1" applyBorder="1" applyAlignment="1">
      <alignment horizontal="right" vertical="center" wrapText="1"/>
    </xf>
    <xf numFmtId="164" fontId="7" fillId="0" borderId="8" xfId="0" applyNumberFormat="1" applyFont="1" applyFill="1" applyBorder="1"/>
    <xf numFmtId="0" fontId="4" fillId="0" borderId="2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left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приложение 1 к закону 2004 года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83"/>
  <sheetViews>
    <sheetView showGridLines="0" tabSelected="1" zoomScale="85" zoomScaleNormal="85" workbookViewId="0">
      <selection activeCell="L7" sqref="L7"/>
    </sheetView>
  </sheetViews>
  <sheetFormatPr defaultColWidth="8.85546875" defaultRowHeight="15.75"/>
  <cols>
    <col min="1" max="1" width="13.42578125" style="1" customWidth="1"/>
    <col min="2" max="2" width="51.140625" style="1" customWidth="1"/>
    <col min="3" max="4" width="18.28515625" style="1" hidden="1" customWidth="1"/>
    <col min="5" max="5" width="15.5703125" style="4" customWidth="1"/>
    <col min="6" max="6" width="16.140625" style="4" customWidth="1"/>
    <col min="7" max="7" width="16.28515625" style="4" customWidth="1"/>
    <col min="8" max="45" width="8.85546875" style="4"/>
    <col min="46" max="16384" width="8.85546875" style="1"/>
  </cols>
  <sheetData>
    <row r="1" spans="1:48" ht="7.15" customHeight="1">
      <c r="B1" s="2"/>
      <c r="C1" s="2"/>
      <c r="D1" s="2"/>
    </row>
    <row r="2" spans="1:48" ht="40.15" customHeight="1">
      <c r="A2" s="50" t="s">
        <v>155</v>
      </c>
      <c r="B2" s="50"/>
      <c r="C2" s="50"/>
      <c r="D2" s="50"/>
      <c r="E2" s="50"/>
      <c r="F2" s="50"/>
      <c r="G2" s="50"/>
    </row>
    <row r="3" spans="1:48" ht="27.6" hidden="1" customHeight="1">
      <c r="B3" s="5" t="s">
        <v>0</v>
      </c>
      <c r="C3" s="19"/>
      <c r="D3" s="19"/>
    </row>
    <row r="4" spans="1:48" ht="15" customHeight="1">
      <c r="B4" s="19"/>
      <c r="C4" s="19"/>
      <c r="D4" s="19"/>
      <c r="G4" s="46" t="s">
        <v>151</v>
      </c>
    </row>
    <row r="5" spans="1:48" s="10" customFormat="1" ht="40.9" customHeight="1">
      <c r="A5" s="21" t="s">
        <v>145</v>
      </c>
      <c r="B5" s="48" t="s">
        <v>146</v>
      </c>
      <c r="C5" s="31"/>
      <c r="D5" s="31"/>
      <c r="E5" s="42" t="s">
        <v>147</v>
      </c>
      <c r="F5" s="42" t="s">
        <v>148</v>
      </c>
      <c r="G5" s="42" t="s">
        <v>149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</row>
    <row r="6" spans="1:48" s="10" customFormat="1" ht="13.15" hidden="1" customHeight="1">
      <c r="A6" s="6"/>
      <c r="B6" s="49"/>
      <c r="C6" s="32"/>
      <c r="D6" s="32"/>
      <c r="E6" s="11"/>
      <c r="F6" s="11"/>
      <c r="G6" s="11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</row>
    <row r="7" spans="1:48" s="10" customFormat="1" ht="13.15" customHeight="1">
      <c r="A7" s="21">
        <v>1</v>
      </c>
      <c r="B7" s="22">
        <v>2</v>
      </c>
      <c r="C7" s="22"/>
      <c r="D7" s="22"/>
      <c r="E7" s="42">
        <v>3</v>
      </c>
      <c r="F7" s="42">
        <v>4</v>
      </c>
      <c r="G7" s="42">
        <v>5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</row>
    <row r="8" spans="1:48" s="11" customFormat="1" ht="22.15" customHeight="1">
      <c r="A8" s="14" t="s">
        <v>73</v>
      </c>
      <c r="B8" s="13" t="s">
        <v>1</v>
      </c>
      <c r="C8" s="40">
        <v>5492190473.4200001</v>
      </c>
      <c r="D8" s="39"/>
      <c r="E8" s="43">
        <v>4290000</v>
      </c>
      <c r="F8" s="43">
        <v>3723930</v>
      </c>
      <c r="G8" s="43">
        <v>3687391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</row>
    <row r="9" spans="1:48" ht="63" customHeight="1">
      <c r="A9" s="23" t="s">
        <v>74</v>
      </c>
      <c r="B9" s="33" t="s">
        <v>2</v>
      </c>
      <c r="C9" s="38">
        <v>208692802</v>
      </c>
      <c r="D9" s="37">
        <f t="shared" ref="D9:D16" si="0">C9/$C$8*100</f>
        <v>3.7998099849229465</v>
      </c>
      <c r="E9" s="44">
        <f>$E$8*D9/100</f>
        <v>163011.84835319442</v>
      </c>
      <c r="F9" s="44">
        <f>$F$8*D9/100</f>
        <v>141502.26397154108</v>
      </c>
      <c r="G9" s="45">
        <f>$G$8*D9/100</f>
        <v>140113.85140115011</v>
      </c>
      <c r="AT9" s="4"/>
      <c r="AU9" s="4"/>
      <c r="AV9" s="4"/>
    </row>
    <row r="10" spans="1:48" ht="63" customHeight="1">
      <c r="A10" s="24" t="s">
        <v>75</v>
      </c>
      <c r="B10" s="33" t="s">
        <v>3</v>
      </c>
      <c r="C10" s="38">
        <v>434963560</v>
      </c>
      <c r="D10" s="37">
        <f t="shared" si="0"/>
        <v>7.919673618477896</v>
      </c>
      <c r="E10" s="44">
        <f t="shared" ref="E10:E15" si="1">$E$8*D10/100</f>
        <v>339753.99823270174</v>
      </c>
      <c r="F10" s="44">
        <f t="shared" ref="F10:F15" si="2">$F$8*D10/100</f>
        <v>294923.10178058391</v>
      </c>
      <c r="G10" s="45">
        <f t="shared" ref="G10:G15" si="3">$G$8*D10/100</f>
        <v>292029.33223712828</v>
      </c>
      <c r="AT10" s="4"/>
      <c r="AU10" s="4"/>
      <c r="AV10" s="4"/>
    </row>
    <row r="11" spans="1:48" ht="63" customHeight="1">
      <c r="A11" s="24" t="s">
        <v>76</v>
      </c>
      <c r="B11" s="33" t="s">
        <v>4</v>
      </c>
      <c r="C11" s="38">
        <v>1840847384.52</v>
      </c>
      <c r="D11" s="37">
        <f t="shared" si="0"/>
        <v>33.517544473902774</v>
      </c>
      <c r="E11" s="44">
        <f t="shared" si="1"/>
        <v>1437902.6579304291</v>
      </c>
      <c r="F11" s="44">
        <f t="shared" si="2"/>
        <v>1248169.8939270077</v>
      </c>
      <c r="G11" s="45">
        <f t="shared" si="3"/>
        <v>1235922.9183516882</v>
      </c>
      <c r="AT11" s="4"/>
      <c r="AU11" s="4"/>
      <c r="AV11" s="4"/>
    </row>
    <row r="12" spans="1:48" ht="18.600000000000001" customHeight="1">
      <c r="A12" s="24" t="s">
        <v>77</v>
      </c>
      <c r="B12" s="33" t="s">
        <v>5</v>
      </c>
      <c r="C12" s="38">
        <v>172738900</v>
      </c>
      <c r="D12" s="37">
        <f t="shared" si="0"/>
        <v>3.1451731478721836</v>
      </c>
      <c r="E12" s="44">
        <v>186594</v>
      </c>
      <c r="F12" s="44">
        <v>170856</v>
      </c>
      <c r="G12" s="45">
        <v>172122</v>
      </c>
      <c r="AT12" s="4"/>
      <c r="AU12" s="4"/>
      <c r="AV12" s="4"/>
    </row>
    <row r="13" spans="1:48" ht="47.25">
      <c r="A13" s="24" t="s">
        <v>78</v>
      </c>
      <c r="B13" s="33" t="s">
        <v>6</v>
      </c>
      <c r="C13" s="38">
        <v>419859952</v>
      </c>
      <c r="D13" s="37">
        <f t="shared" si="0"/>
        <v>7.6446720854266399</v>
      </c>
      <c r="E13" s="44">
        <f t="shared" si="1"/>
        <v>327956.43246480287</v>
      </c>
      <c r="F13" s="44">
        <f t="shared" si="2"/>
        <v>284682.23719082831</v>
      </c>
      <c r="G13" s="45">
        <f t="shared" si="3"/>
        <v>281888.95045753423</v>
      </c>
      <c r="AT13" s="4"/>
      <c r="AU13" s="4"/>
      <c r="AV13" s="4"/>
    </row>
    <row r="14" spans="1:48" ht="31.5">
      <c r="A14" s="24" t="s">
        <v>79</v>
      </c>
      <c r="B14" s="33" t="s">
        <v>7</v>
      </c>
      <c r="C14" s="38">
        <v>152199900</v>
      </c>
      <c r="D14" s="37">
        <f t="shared" si="0"/>
        <v>2.7712057827671219</v>
      </c>
      <c r="E14" s="44">
        <v>119184</v>
      </c>
      <c r="F14" s="44">
        <v>113273</v>
      </c>
      <c r="G14" s="45">
        <v>117875</v>
      </c>
      <c r="AT14" s="4"/>
      <c r="AU14" s="4"/>
      <c r="AV14" s="4"/>
    </row>
    <row r="15" spans="1:48">
      <c r="A15" s="24" t="s">
        <v>80</v>
      </c>
      <c r="B15" s="33" t="s">
        <v>8</v>
      </c>
      <c r="C15" s="38">
        <v>41819047.659999996</v>
      </c>
      <c r="D15" s="37">
        <f t="shared" si="0"/>
        <v>0.76142748257525705</v>
      </c>
      <c r="E15" s="44">
        <f t="shared" si="1"/>
        <v>32665.239002478527</v>
      </c>
      <c r="F15" s="44">
        <f t="shared" si="2"/>
        <v>28355.026451864767</v>
      </c>
      <c r="G15" s="45">
        <f t="shared" si="3"/>
        <v>28076.808464006594</v>
      </c>
      <c r="AT15" s="4"/>
      <c r="AU15" s="4"/>
      <c r="AV15" s="4"/>
    </row>
    <row r="16" spans="1:48">
      <c r="A16" s="24" t="s">
        <v>81</v>
      </c>
      <c r="B16" s="33" t="s">
        <v>9</v>
      </c>
      <c r="C16" s="38">
        <v>2221068927.2399998</v>
      </c>
      <c r="D16" s="37">
        <f t="shared" si="0"/>
        <v>40.440493424055177</v>
      </c>
      <c r="E16" s="44">
        <f>$E$8*D16/100-51965</f>
        <v>1682932.1678919671</v>
      </c>
      <c r="F16" s="44">
        <f>$F$8*D16/100-63807</f>
        <v>1442168.6667664179</v>
      </c>
      <c r="G16" s="45">
        <f>$G$8*D16/100-71837</f>
        <v>1419362.1148742023</v>
      </c>
      <c r="AT16" s="4"/>
      <c r="AU16" s="4"/>
      <c r="AV16" s="4"/>
    </row>
    <row r="17" spans="1:48" s="10" customFormat="1">
      <c r="A17" s="25" t="s">
        <v>82</v>
      </c>
      <c r="B17" s="34" t="s">
        <v>10</v>
      </c>
      <c r="C17" s="40">
        <v>25998900</v>
      </c>
      <c r="D17" s="39"/>
      <c r="E17" s="43">
        <v>27848</v>
      </c>
      <c r="F17" s="43">
        <v>28348</v>
      </c>
      <c r="G17" s="43">
        <v>26948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</row>
    <row r="18" spans="1:48">
      <c r="A18" s="24" t="s">
        <v>83</v>
      </c>
      <c r="B18" s="33" t="s">
        <v>11</v>
      </c>
      <c r="C18" s="38">
        <v>25975900</v>
      </c>
      <c r="D18" s="37">
        <f>C18/25998900*100</f>
        <v>99.911534718776565</v>
      </c>
      <c r="E18" s="45">
        <f>$E$17*D18/100</f>
        <v>27823.364188484898</v>
      </c>
      <c r="F18" s="45">
        <f>$F$17*D18/100</f>
        <v>28322.92186207878</v>
      </c>
      <c r="G18" s="45">
        <f>$G$17*D18/100</f>
        <v>26924.160376015912</v>
      </c>
      <c r="AT18" s="4"/>
      <c r="AU18" s="4"/>
      <c r="AV18" s="4"/>
    </row>
    <row r="19" spans="1:48">
      <c r="A19" s="24" t="s">
        <v>84</v>
      </c>
      <c r="B19" s="33" t="s">
        <v>12</v>
      </c>
      <c r="C19" s="38">
        <v>23000</v>
      </c>
      <c r="D19" s="37">
        <f>C19/25998900*100</f>
        <v>8.8465281223436373E-2</v>
      </c>
      <c r="E19" s="45">
        <f>$E$17*D19/100</f>
        <v>24.63581151510256</v>
      </c>
      <c r="F19" s="45">
        <f>$F$17*D19/100</f>
        <v>25.078137921219746</v>
      </c>
      <c r="G19" s="45">
        <f>$G$17*D19/100</f>
        <v>23.839623984091634</v>
      </c>
      <c r="AT19" s="4"/>
      <c r="AU19" s="4"/>
      <c r="AV19" s="4"/>
    </row>
    <row r="20" spans="1:48" s="10" customFormat="1" ht="31.5">
      <c r="A20" s="25" t="s">
        <v>85</v>
      </c>
      <c r="B20" s="34" t="s">
        <v>13</v>
      </c>
      <c r="C20" s="40">
        <v>697692827.20000005</v>
      </c>
      <c r="D20" s="39"/>
      <c r="E20" s="43">
        <v>722101</v>
      </c>
      <c r="F20" s="43">
        <v>649168</v>
      </c>
      <c r="G20" s="43">
        <v>671889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</row>
    <row r="21" spans="1:48">
      <c r="A21" s="24" t="s">
        <v>86</v>
      </c>
      <c r="B21" s="33" t="s">
        <v>14</v>
      </c>
      <c r="C21" s="38">
        <v>30436200</v>
      </c>
      <c r="D21" s="37">
        <f>C21/$C$20*100</f>
        <v>4.3624068950439678</v>
      </c>
      <c r="E21" s="45">
        <f>$E$20*D21/100</f>
        <v>31500.983813181439</v>
      </c>
      <c r="F21" s="45">
        <f>$F$20*D21/100</f>
        <v>28319.349592419025</v>
      </c>
      <c r="G21" s="45">
        <f>$G$20*D21/100</f>
        <v>29310.532063041966</v>
      </c>
      <c r="AT21" s="4"/>
      <c r="AU21" s="4"/>
      <c r="AV21" s="4"/>
    </row>
    <row r="22" spans="1:48" ht="47.25">
      <c r="A22" s="24" t="s">
        <v>87</v>
      </c>
      <c r="B22" s="33" t="s">
        <v>15</v>
      </c>
      <c r="C22" s="38">
        <v>206223413.16999999</v>
      </c>
      <c r="D22" s="37">
        <f>C22/$C$20*100</f>
        <v>29.557909316284853</v>
      </c>
      <c r="E22" s="45">
        <f>$E$20*D22/100</f>
        <v>213437.95875198609</v>
      </c>
      <c r="F22" s="45">
        <f t="shared" ref="F22:F24" si="4">$F$20*D22/100</f>
        <v>191880.48875034004</v>
      </c>
      <c r="G22" s="45">
        <f t="shared" ref="G22:G24" si="5">$G$20*D22/100</f>
        <v>198596.34132609316</v>
      </c>
      <c r="AT22" s="4"/>
      <c r="AU22" s="4"/>
      <c r="AV22" s="4"/>
    </row>
    <row r="23" spans="1:48">
      <c r="A23" s="24" t="s">
        <v>88</v>
      </c>
      <c r="B23" s="33" t="s">
        <v>16</v>
      </c>
      <c r="C23" s="38">
        <v>444148514.02999997</v>
      </c>
      <c r="D23" s="37">
        <f>C23/$C$20*100</f>
        <v>63.659607310636822</v>
      </c>
      <c r="E23" s="45">
        <f>$E$20*D23/100</f>
        <v>459686.66098618158</v>
      </c>
      <c r="F23" s="45">
        <f t="shared" si="4"/>
        <v>413257.79958631488</v>
      </c>
      <c r="G23" s="45">
        <f t="shared" si="5"/>
        <v>427721.89896336466</v>
      </c>
      <c r="AT23" s="4"/>
      <c r="AU23" s="4"/>
      <c r="AV23" s="4"/>
    </row>
    <row r="24" spans="1:48" ht="47.25">
      <c r="A24" s="24" t="s">
        <v>90</v>
      </c>
      <c r="B24" s="33" t="s">
        <v>18</v>
      </c>
      <c r="C24" s="38">
        <v>16884700</v>
      </c>
      <c r="D24" s="37">
        <f>C24/$C$20*100</f>
        <v>2.4200764780343436</v>
      </c>
      <c r="E24" s="45">
        <f>$E$20*D24/100</f>
        <v>17475.396448650776</v>
      </c>
      <c r="F24" s="45">
        <f t="shared" si="4"/>
        <v>15710.362070925989</v>
      </c>
      <c r="G24" s="45">
        <f t="shared" si="5"/>
        <v>16260.227647500171</v>
      </c>
      <c r="AT24" s="4"/>
      <c r="AU24" s="4"/>
      <c r="AV24" s="4"/>
    </row>
    <row r="25" spans="1:48" ht="34.15" customHeight="1">
      <c r="A25" s="25" t="s">
        <v>91</v>
      </c>
      <c r="B25" s="34" t="s">
        <v>19</v>
      </c>
      <c r="C25" s="40">
        <v>7136592739.3800001</v>
      </c>
      <c r="D25" s="39"/>
      <c r="E25" s="43">
        <v>10871454</v>
      </c>
      <c r="F25" s="43">
        <v>8240562</v>
      </c>
      <c r="G25" s="43">
        <v>10948219</v>
      </c>
      <c r="AT25" s="4"/>
      <c r="AU25" s="4"/>
      <c r="AV25" s="4"/>
    </row>
    <row r="26" spans="1:48" s="10" customFormat="1">
      <c r="A26" s="24" t="s">
        <v>92</v>
      </c>
      <c r="B26" s="33" t="s">
        <v>20</v>
      </c>
      <c r="C26" s="38">
        <v>668713100</v>
      </c>
      <c r="D26" s="37">
        <f t="shared" ref="D26:D34" si="6">C26/$C$25*100</f>
        <v>9.370201220955412</v>
      </c>
      <c r="E26" s="45">
        <f>$E$25*D26/100</f>
        <v>1018677.1154436059</v>
      </c>
      <c r="F26" s="45">
        <f>$F$25*D26/100</f>
        <v>772157.2411375877</v>
      </c>
      <c r="G26" s="45">
        <f>$G$25*D26/100</f>
        <v>1025870.1504108724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</row>
    <row r="27" spans="1:48">
      <c r="A27" s="24" t="s">
        <v>93</v>
      </c>
      <c r="B27" s="33" t="s">
        <v>21</v>
      </c>
      <c r="C27" s="38">
        <v>4065900</v>
      </c>
      <c r="D27" s="37">
        <f t="shared" si="6"/>
        <v>5.6972565879571682E-2</v>
      </c>
      <c r="E27" s="45">
        <v>4146</v>
      </c>
      <c r="F27" s="45">
        <v>3710</v>
      </c>
      <c r="G27" s="45">
        <v>3861</v>
      </c>
      <c r="AT27" s="4"/>
      <c r="AU27" s="4"/>
      <c r="AV27" s="4"/>
    </row>
    <row r="28" spans="1:48">
      <c r="A28" s="24" t="s">
        <v>94</v>
      </c>
      <c r="B28" s="33" t="s">
        <v>22</v>
      </c>
      <c r="C28" s="38">
        <v>1673480016</v>
      </c>
      <c r="D28" s="37">
        <f t="shared" si="6"/>
        <v>23.44928563410479</v>
      </c>
      <c r="E28" s="45">
        <f t="shared" ref="E28:E31" si="7">$E$25*D28/100</f>
        <v>2549278.3010403104</v>
      </c>
      <c r="F28" s="45">
        <f t="shared" ref="F28:F34" si="8">$F$25*D28/100</f>
        <v>1932352.9212354985</v>
      </c>
      <c r="G28" s="45">
        <f t="shared" ref="G28:G34" si="9">$G$25*D28/100</f>
        <v>2567279.1451573311</v>
      </c>
      <c r="AT28" s="4"/>
      <c r="AU28" s="4"/>
      <c r="AV28" s="4"/>
    </row>
    <row r="29" spans="1:48">
      <c r="A29" s="24" t="s">
        <v>95</v>
      </c>
      <c r="B29" s="33" t="s">
        <v>23</v>
      </c>
      <c r="C29" s="38">
        <v>21875800</v>
      </c>
      <c r="D29" s="37">
        <f t="shared" si="6"/>
        <v>0.30653003189166833</v>
      </c>
      <c r="E29" s="45">
        <f t="shared" si="7"/>
        <v>33324.27141328805</v>
      </c>
      <c r="F29" s="45">
        <f t="shared" si="8"/>
        <v>25259.797326652701</v>
      </c>
      <c r="G29" s="45">
        <f t="shared" si="9"/>
        <v>33559.579192269688</v>
      </c>
      <c r="AT29" s="4"/>
      <c r="AU29" s="4"/>
      <c r="AV29" s="4"/>
    </row>
    <row r="30" spans="1:48">
      <c r="A30" s="24" t="s">
        <v>96</v>
      </c>
      <c r="B30" s="33" t="s">
        <v>24</v>
      </c>
      <c r="C30" s="38">
        <v>314735500</v>
      </c>
      <c r="D30" s="37">
        <f t="shared" si="6"/>
        <v>4.4101647872279033</v>
      </c>
      <c r="E30" s="45">
        <f t="shared" si="7"/>
        <v>479449.03616767935</v>
      </c>
      <c r="F30" s="45">
        <f t="shared" si="8"/>
        <v>363422.36359368346</v>
      </c>
      <c r="G30" s="45">
        <f t="shared" si="9"/>
        <v>482834.49916659488</v>
      </c>
      <c r="AT30" s="4"/>
      <c r="AU30" s="4"/>
      <c r="AV30" s="4"/>
    </row>
    <row r="31" spans="1:48">
      <c r="A31" s="24" t="s">
        <v>97</v>
      </c>
      <c r="B31" s="33" t="s">
        <v>25</v>
      </c>
      <c r="C31" s="38">
        <v>79967844</v>
      </c>
      <c r="D31" s="37">
        <f t="shared" si="6"/>
        <v>1.1205325415129026</v>
      </c>
      <c r="E31" s="45">
        <f t="shared" si="7"/>
        <v>121818.17980560612</v>
      </c>
      <c r="F31" s="45">
        <f t="shared" si="8"/>
        <v>92338.178813546489</v>
      </c>
      <c r="G31" s="45">
        <f t="shared" si="9"/>
        <v>122678.3566110985</v>
      </c>
      <c r="AT31" s="4"/>
      <c r="AU31" s="4"/>
      <c r="AV31" s="4"/>
    </row>
    <row r="32" spans="1:48">
      <c r="A32" s="24" t="s">
        <v>98</v>
      </c>
      <c r="B32" s="33" t="s">
        <v>26</v>
      </c>
      <c r="C32" s="38">
        <v>3727532143.25</v>
      </c>
      <c r="D32" s="37">
        <f t="shared" si="6"/>
        <v>52.231257679611318</v>
      </c>
      <c r="E32" s="45">
        <f>$E$25*D32/100-500000+11560</f>
        <v>5189857.1522604115</v>
      </c>
      <c r="F32" s="45">
        <f>$F$25*D32/100+24987+985</f>
        <v>4330121.1724681314</v>
      </c>
      <c r="G32" s="45">
        <f>$G$25*D32/100+33198+2376</f>
        <v>5753966.4772181651</v>
      </c>
      <c r="AT32" s="4"/>
      <c r="AU32" s="4"/>
      <c r="AV32" s="4"/>
    </row>
    <row r="33" spans="1:48">
      <c r="A33" s="24" t="s">
        <v>99</v>
      </c>
      <c r="B33" s="33" t="s">
        <v>27</v>
      </c>
      <c r="C33" s="38">
        <v>21639900</v>
      </c>
      <c r="D33" s="37">
        <f t="shared" si="6"/>
        <v>0.3032245329145683</v>
      </c>
      <c r="E33" s="45">
        <v>23453</v>
      </c>
      <c r="F33" s="45">
        <v>0</v>
      </c>
      <c r="G33" s="45">
        <v>0</v>
      </c>
      <c r="AT33" s="4"/>
      <c r="AU33" s="4"/>
      <c r="AV33" s="4"/>
    </row>
    <row r="34" spans="1:48" ht="31.5">
      <c r="A34" s="24" t="s">
        <v>100</v>
      </c>
      <c r="B34" s="33" t="s">
        <v>28</v>
      </c>
      <c r="C34" s="38">
        <v>624582536.13</v>
      </c>
      <c r="D34" s="37">
        <f t="shared" si="6"/>
        <v>8.7518310059018631</v>
      </c>
      <c r="E34" s="45">
        <f>$E$25*D34/100+500000</f>
        <v>1451451.2819643584</v>
      </c>
      <c r="F34" s="45">
        <f t="shared" si="8"/>
        <v>721200.06017656671</v>
      </c>
      <c r="G34" s="45">
        <f t="shared" si="9"/>
        <v>958169.62503603892</v>
      </c>
      <c r="AT34" s="4"/>
      <c r="AU34" s="4"/>
      <c r="AV34" s="4"/>
    </row>
    <row r="35" spans="1:48" ht="31.5">
      <c r="A35" s="25" t="s">
        <v>101</v>
      </c>
      <c r="B35" s="34" t="s">
        <v>29</v>
      </c>
      <c r="C35" s="40">
        <v>2606167439.3800001</v>
      </c>
      <c r="D35" s="39"/>
      <c r="E35" s="43">
        <v>2500124</v>
      </c>
      <c r="F35" s="43">
        <v>1677583</v>
      </c>
      <c r="G35" s="43">
        <v>1678519</v>
      </c>
      <c r="AT35" s="4"/>
      <c r="AU35" s="4"/>
      <c r="AV35" s="4"/>
    </row>
    <row r="36" spans="1:48" s="10" customFormat="1">
      <c r="A36" s="24" t="s">
        <v>102</v>
      </c>
      <c r="B36" s="33" t="s">
        <v>30</v>
      </c>
      <c r="C36" s="38">
        <v>1433843383.3099999</v>
      </c>
      <c r="D36" s="37">
        <f>C36/$C$35*100</f>
        <v>55.017316295345445</v>
      </c>
      <c r="E36" s="45">
        <f>$E$35*D36/100</f>
        <v>1375501.1288558424</v>
      </c>
      <c r="F36" s="45">
        <f>$F$35*D36/100</f>
        <v>922961.14522694494</v>
      </c>
      <c r="G36" s="45">
        <f>$G$35*D36/100</f>
        <v>923476.10730746936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</row>
    <row r="37" spans="1:48">
      <c r="A37" s="24" t="s">
        <v>103</v>
      </c>
      <c r="B37" s="33" t="s">
        <v>31</v>
      </c>
      <c r="C37" s="38">
        <v>426470338.06</v>
      </c>
      <c r="D37" s="37">
        <f>C37/$C$35*100</f>
        <v>16.363888659489049</v>
      </c>
      <c r="E37" s="45">
        <f t="shared" ref="E37:E39" si="10">$E$35*D37/100</f>
        <v>409117.507709164</v>
      </c>
      <c r="F37" s="45">
        <f t="shared" ref="F37:F39" si="11">$F$35*D37/100</f>
        <v>274517.81429051619</v>
      </c>
      <c r="G37" s="45">
        <f t="shared" ref="G37:G39" si="12">$G$35*D37/100</f>
        <v>274670.980288369</v>
      </c>
      <c r="AT37" s="4"/>
      <c r="AU37" s="4"/>
      <c r="AV37" s="4"/>
    </row>
    <row r="38" spans="1:48">
      <c r="A38" s="24" t="s">
        <v>104</v>
      </c>
      <c r="B38" s="33" t="s">
        <v>32</v>
      </c>
      <c r="C38" s="38">
        <v>546982976.00999999</v>
      </c>
      <c r="D38" s="37">
        <f>C38/$C$35*100</f>
        <v>20.988021250857379</v>
      </c>
      <c r="E38" s="45">
        <f t="shared" si="10"/>
        <v>524726.55641778547</v>
      </c>
      <c r="F38" s="45">
        <f t="shared" si="11"/>
        <v>352091.47654077073</v>
      </c>
      <c r="G38" s="45">
        <f t="shared" si="12"/>
        <v>352287.92441967875</v>
      </c>
      <c r="AT38" s="4"/>
      <c r="AU38" s="4"/>
      <c r="AV38" s="4"/>
    </row>
    <row r="39" spans="1:48" ht="31.5">
      <c r="A39" s="24" t="s">
        <v>105</v>
      </c>
      <c r="B39" s="33" t="s">
        <v>33</v>
      </c>
      <c r="C39" s="38">
        <v>198870742</v>
      </c>
      <c r="D39" s="37">
        <f>C39/$C$35*100</f>
        <v>7.6307737943081193</v>
      </c>
      <c r="E39" s="45">
        <f t="shared" si="10"/>
        <v>190778.80701720793</v>
      </c>
      <c r="F39" s="45">
        <f t="shared" si="11"/>
        <v>128012.56394176798</v>
      </c>
      <c r="G39" s="45">
        <f t="shared" si="12"/>
        <v>128083.98798448271</v>
      </c>
      <c r="AT39" s="4"/>
      <c r="AU39" s="4"/>
      <c r="AV39" s="4"/>
    </row>
    <row r="40" spans="1:48">
      <c r="A40" s="25" t="s">
        <v>106</v>
      </c>
      <c r="B40" s="34" t="s">
        <v>34</v>
      </c>
      <c r="C40" s="40">
        <v>75479800</v>
      </c>
      <c r="D40" s="39"/>
      <c r="E40" s="43">
        <v>131069</v>
      </c>
      <c r="F40" s="43">
        <v>63568</v>
      </c>
      <c r="G40" s="43">
        <v>66620</v>
      </c>
      <c r="AT40" s="4"/>
      <c r="AU40" s="4"/>
      <c r="AV40" s="4"/>
    </row>
    <row r="41" spans="1:48" s="10" customFormat="1">
      <c r="A41" s="24" t="s">
        <v>107</v>
      </c>
      <c r="B41" s="33" t="s">
        <v>35</v>
      </c>
      <c r="C41" s="38">
        <v>120000</v>
      </c>
      <c r="D41" s="37">
        <f>C41/$C$40*100</f>
        <v>0.15898293318212289</v>
      </c>
      <c r="E41" s="45">
        <f>$E$40*D41/100</f>
        <v>208.37734069247665</v>
      </c>
      <c r="F41" s="45">
        <f>$F$40*D41/100</f>
        <v>101.06227096521188</v>
      </c>
      <c r="G41" s="45">
        <f>$G$40*D41/100</f>
        <v>105.91443008593028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</row>
    <row r="42" spans="1:48" ht="31.5">
      <c r="A42" s="24" t="s">
        <v>108</v>
      </c>
      <c r="B42" s="33" t="s">
        <v>36</v>
      </c>
      <c r="C42" s="38">
        <v>60441700</v>
      </c>
      <c r="D42" s="37">
        <f>C42/$C$40*100</f>
        <v>80.076656270949314</v>
      </c>
      <c r="E42" s="45">
        <v>119147</v>
      </c>
      <c r="F42" s="45">
        <v>53189</v>
      </c>
      <c r="G42" s="45">
        <v>55705</v>
      </c>
      <c r="AT42" s="4"/>
      <c r="AU42" s="4"/>
      <c r="AV42" s="4"/>
    </row>
    <row r="43" spans="1:48" ht="31.5">
      <c r="A43" s="24" t="s">
        <v>109</v>
      </c>
      <c r="B43" s="33" t="s">
        <v>37</v>
      </c>
      <c r="C43" s="38">
        <v>14918100</v>
      </c>
      <c r="D43" s="37">
        <f>C43/$C$40*100</f>
        <v>19.764360795868562</v>
      </c>
      <c r="E43" s="45">
        <f>$E$40*D43/100-14191</f>
        <v>11713.950051536965</v>
      </c>
      <c r="F43" s="45">
        <f>$F$40*D43/100-2286</f>
        <v>10277.808870717727</v>
      </c>
      <c r="G43" s="45">
        <f>$G$40*D43/100-2358</f>
        <v>10809.017162207636</v>
      </c>
      <c r="AT43" s="4"/>
      <c r="AU43" s="4"/>
      <c r="AV43" s="4"/>
    </row>
    <row r="44" spans="1:48">
      <c r="A44" s="25" t="s">
        <v>110</v>
      </c>
      <c r="B44" s="34" t="s">
        <v>38</v>
      </c>
      <c r="C44" s="40">
        <v>23726525256.98</v>
      </c>
      <c r="D44" s="39"/>
      <c r="E44" s="43">
        <v>22136782.300000001</v>
      </c>
      <c r="F44" s="43">
        <v>21742277.800000001</v>
      </c>
      <c r="G44" s="43">
        <v>22459762.300000001</v>
      </c>
      <c r="AT44" s="4"/>
      <c r="AU44" s="4"/>
      <c r="AV44" s="4"/>
    </row>
    <row r="45" spans="1:48" s="10" customFormat="1">
      <c r="A45" s="24" t="s">
        <v>111</v>
      </c>
      <c r="B45" s="33" t="s">
        <v>39</v>
      </c>
      <c r="C45" s="38">
        <v>6400500378.7600002</v>
      </c>
      <c r="D45" s="37">
        <f t="shared" ref="D45:D50" si="13">C45/$C$44*100</f>
        <v>26.976138770581525</v>
      </c>
      <c r="E45" s="45">
        <f>$E$44*D45/100-150193</f>
        <v>5821456.1125895288</v>
      </c>
      <c r="F45" s="45">
        <f>$F$44*D45/100-59861</f>
        <v>5805366.0312133394</v>
      </c>
      <c r="G45" s="45">
        <f>$G$44*D45/100-54040</f>
        <v>6004736.6455907524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</row>
    <row r="46" spans="1:48">
      <c r="A46" s="24" t="s">
        <v>112</v>
      </c>
      <c r="B46" s="33" t="s">
        <v>40</v>
      </c>
      <c r="C46" s="38">
        <v>13201120098.540001</v>
      </c>
      <c r="D46" s="37">
        <f t="shared" si="13"/>
        <v>55.638657391083527</v>
      </c>
      <c r="E46" s="45">
        <f t="shared" ref="E46:E50" si="14">$E$44*D46/100</f>
        <v>12316608.461307021</v>
      </c>
      <c r="F46" s="45">
        <f t="shared" ref="F46:F50" si="15">$F$44*D46/100</f>
        <v>12097111.454159612</v>
      </c>
      <c r="G46" s="45">
        <f t="shared" ref="G46:G50" si="16">$G$44*D46/100</f>
        <v>12496310.196948742</v>
      </c>
      <c r="AT46" s="4"/>
      <c r="AU46" s="4"/>
      <c r="AV46" s="4"/>
    </row>
    <row r="47" spans="1:48">
      <c r="A47" s="24" t="s">
        <v>113</v>
      </c>
      <c r="B47" s="33" t="s">
        <v>41</v>
      </c>
      <c r="C47" s="38">
        <v>1987411800</v>
      </c>
      <c r="D47" s="37">
        <f t="shared" si="13"/>
        <v>8.3763289334384616</v>
      </c>
      <c r="E47" s="45">
        <v>1998769</v>
      </c>
      <c r="F47" s="45">
        <v>1876407</v>
      </c>
      <c r="G47" s="45">
        <v>1933017</v>
      </c>
      <c r="AT47" s="4"/>
      <c r="AU47" s="4"/>
      <c r="AV47" s="4"/>
    </row>
    <row r="48" spans="1:48" ht="31.5">
      <c r="A48" s="24" t="s">
        <v>114</v>
      </c>
      <c r="B48" s="33" t="s">
        <v>42</v>
      </c>
      <c r="C48" s="38">
        <v>83165200</v>
      </c>
      <c r="D48" s="37">
        <f t="shared" si="13"/>
        <v>0.35051571647868668</v>
      </c>
      <c r="E48" s="45">
        <v>83266</v>
      </c>
      <c r="F48" s="45">
        <v>80869</v>
      </c>
      <c r="G48" s="45">
        <v>81051</v>
      </c>
      <c r="AT48" s="4"/>
      <c r="AU48" s="4"/>
      <c r="AV48" s="4"/>
    </row>
    <row r="49" spans="1:48">
      <c r="A49" s="24" t="s">
        <v>115</v>
      </c>
      <c r="B49" s="33" t="s">
        <v>43</v>
      </c>
      <c r="C49" s="38">
        <v>312446780</v>
      </c>
      <c r="D49" s="37">
        <f t="shared" si="13"/>
        <v>1.3168669942855737</v>
      </c>
      <c r="E49" s="45">
        <f t="shared" si="14"/>
        <v>291511.97970555088</v>
      </c>
      <c r="F49" s="45">
        <f t="shared" si="15"/>
        <v>286316.88015407958</v>
      </c>
      <c r="G49" s="45">
        <f t="shared" si="16"/>
        <v>295765.19672369445</v>
      </c>
      <c r="AT49" s="4"/>
      <c r="AU49" s="4"/>
      <c r="AV49" s="4"/>
    </row>
    <row r="50" spans="1:48">
      <c r="A50" s="24" t="s">
        <v>116</v>
      </c>
      <c r="B50" s="33" t="s">
        <v>44</v>
      </c>
      <c r="C50" s="38">
        <v>1741880999.6800001</v>
      </c>
      <c r="D50" s="37">
        <f t="shared" si="13"/>
        <v>7.3414921941322362</v>
      </c>
      <c r="E50" s="45">
        <f t="shared" si="14"/>
        <v>1625170.1445865463</v>
      </c>
      <c r="F50" s="45">
        <f t="shared" si="15"/>
        <v>1596207.627513546</v>
      </c>
      <c r="G50" s="45">
        <f t="shared" si="16"/>
        <v>1648881.6960751549</v>
      </c>
      <c r="AT50" s="4"/>
      <c r="AU50" s="4"/>
      <c r="AV50" s="4"/>
    </row>
    <row r="51" spans="1:48">
      <c r="A51" s="25" t="s">
        <v>117</v>
      </c>
      <c r="B51" s="34" t="s">
        <v>45</v>
      </c>
      <c r="C51" s="40">
        <v>2624390269.7800002</v>
      </c>
      <c r="D51" s="39"/>
      <c r="E51" s="43">
        <v>1638988</v>
      </c>
      <c r="F51" s="43">
        <v>1399695</v>
      </c>
      <c r="G51" s="43">
        <v>1486476</v>
      </c>
      <c r="AT51" s="4"/>
      <c r="AU51" s="4"/>
      <c r="AV51" s="4"/>
    </row>
    <row r="52" spans="1:48" s="10" customFormat="1">
      <c r="A52" s="24" t="s">
        <v>118</v>
      </c>
      <c r="B52" s="33" t="s">
        <v>46</v>
      </c>
      <c r="C52" s="38">
        <v>2287265399.7800002</v>
      </c>
      <c r="D52" s="37">
        <f>C52/$C$51*100</f>
        <v>87.154164002129889</v>
      </c>
      <c r="E52" s="45">
        <f>$E$51*D52/100</f>
        <v>1428446.2894952286</v>
      </c>
      <c r="F52" s="45">
        <f>$F$51*D52/100</f>
        <v>1219892.475829612</v>
      </c>
      <c r="G52" s="45">
        <f>$G$51*D52/100</f>
        <v>1295525.7308923004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</row>
    <row r="53" spans="1:48" ht="31.5">
      <c r="A53" s="24" t="s">
        <v>119</v>
      </c>
      <c r="B53" s="33" t="s">
        <v>47</v>
      </c>
      <c r="C53" s="38">
        <v>337124870</v>
      </c>
      <c r="D53" s="37">
        <f>C53/$C$51*100</f>
        <v>12.84583599787012</v>
      </c>
      <c r="E53" s="45">
        <f>$E$51*D53/100</f>
        <v>210541.7105047715</v>
      </c>
      <c r="F53" s="45">
        <f>$F$51*D53/100</f>
        <v>179802.52417038818</v>
      </c>
      <c r="G53" s="45">
        <f>$G$51*D53/100</f>
        <v>190950.26910769983</v>
      </c>
      <c r="AT53" s="4"/>
      <c r="AU53" s="4"/>
      <c r="AV53" s="4"/>
    </row>
    <row r="54" spans="1:48">
      <c r="A54" s="25" t="s">
        <v>120</v>
      </c>
      <c r="B54" s="34" t="s">
        <v>48</v>
      </c>
      <c r="C54" s="40">
        <v>9705631214.4799995</v>
      </c>
      <c r="D54" s="39"/>
      <c r="E54" s="43">
        <v>10053161</v>
      </c>
      <c r="F54" s="43">
        <v>10040450</v>
      </c>
      <c r="G54" s="43">
        <v>10401906</v>
      </c>
      <c r="AT54" s="4"/>
      <c r="AU54" s="4"/>
      <c r="AV54" s="4"/>
    </row>
    <row r="55" spans="1:48" s="10" customFormat="1">
      <c r="A55" s="24" t="s">
        <v>121</v>
      </c>
      <c r="B55" s="33" t="s">
        <v>49</v>
      </c>
      <c r="C55" s="38">
        <v>1488712376.48</v>
      </c>
      <c r="D55" s="37">
        <f t="shared" ref="D55:D61" si="17">C55/$C$54*100</f>
        <v>15.338645612857865</v>
      </c>
      <c r="E55" s="45">
        <v>1575363</v>
      </c>
      <c r="F55" s="45">
        <f>$F$54*D55/100</f>
        <v>1540069.0434361876</v>
      </c>
      <c r="G55" s="45">
        <f>$G$54*D55/100</f>
        <v>1595511.4983225989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</row>
    <row r="56" spans="1:48">
      <c r="A56" s="24" t="s">
        <v>122</v>
      </c>
      <c r="B56" s="33" t="s">
        <v>50</v>
      </c>
      <c r="C56" s="38">
        <v>859057600</v>
      </c>
      <c r="D56" s="37">
        <f t="shared" si="17"/>
        <v>8.8511255065858787</v>
      </c>
      <c r="E56" s="45">
        <f t="shared" ref="E56:E60" si="18">$E$54*D56/100</f>
        <v>889817.897489144</v>
      </c>
      <c r="F56" s="45">
        <f t="shared" ref="F56:F61" si="19">$F$54*D56/100</f>
        <v>888692.83092600177</v>
      </c>
      <c r="G56" s="45">
        <f t="shared" ref="G56:G61" si="20">$G$54*D56/100</f>
        <v>920685.75513708696</v>
      </c>
      <c r="AT56" s="4"/>
      <c r="AU56" s="4"/>
      <c r="AV56" s="4"/>
    </row>
    <row r="57" spans="1:48" ht="31.5">
      <c r="A57" s="24" t="s">
        <v>123</v>
      </c>
      <c r="B57" s="33" t="s">
        <v>51</v>
      </c>
      <c r="C57" s="38">
        <v>29830800</v>
      </c>
      <c r="D57" s="37">
        <f t="shared" si="17"/>
        <v>0.30735558915008959</v>
      </c>
      <c r="E57" s="45">
        <v>30978</v>
      </c>
      <c r="F57" s="45">
        <f t="shared" si="19"/>
        <v>30859.884250820171</v>
      </c>
      <c r="G57" s="45">
        <f t="shared" si="20"/>
        <v>31970.839469138518</v>
      </c>
      <c r="AT57" s="4"/>
      <c r="AU57" s="4"/>
      <c r="AV57" s="4"/>
    </row>
    <row r="58" spans="1:48">
      <c r="A58" s="24" t="s">
        <v>124</v>
      </c>
      <c r="B58" s="33" t="s">
        <v>52</v>
      </c>
      <c r="C58" s="38">
        <v>34884968</v>
      </c>
      <c r="D58" s="37">
        <f t="shared" si="17"/>
        <v>0.35943018263412391</v>
      </c>
      <c r="E58" s="45">
        <v>36884</v>
      </c>
      <c r="F58" s="45">
        <f t="shared" si="19"/>
        <v>36088.407772287894</v>
      </c>
      <c r="G58" s="45">
        <f t="shared" si="20"/>
        <v>37387.589733229892</v>
      </c>
      <c r="AT58" s="4"/>
      <c r="AU58" s="4"/>
      <c r="AV58" s="4"/>
    </row>
    <row r="59" spans="1:48">
      <c r="A59" s="24" t="s">
        <v>125</v>
      </c>
      <c r="B59" s="33" t="s">
        <v>53</v>
      </c>
      <c r="C59" s="38">
        <v>191898200</v>
      </c>
      <c r="D59" s="37">
        <f t="shared" si="17"/>
        <v>1.977184129082751</v>
      </c>
      <c r="E59" s="45">
        <v>212698</v>
      </c>
      <c r="F59" s="45">
        <f t="shared" si="19"/>
        <v>198518.18388848909</v>
      </c>
      <c r="G59" s="45">
        <f t="shared" si="20"/>
        <v>205664.8345541064</v>
      </c>
      <c r="AT59" s="4"/>
      <c r="AU59" s="4"/>
      <c r="AV59" s="4"/>
    </row>
    <row r="60" spans="1:48" ht="31.5">
      <c r="A60" s="24" t="s">
        <v>126</v>
      </c>
      <c r="B60" s="33" t="s">
        <v>54</v>
      </c>
      <c r="C60" s="38">
        <v>107179100</v>
      </c>
      <c r="D60" s="37">
        <f t="shared" si="17"/>
        <v>1.104298088722943</v>
      </c>
      <c r="E60" s="45">
        <f t="shared" si="18"/>
        <v>111016.86477924031</v>
      </c>
      <c r="F60" s="45">
        <f t="shared" si="19"/>
        <v>110876.49744918273</v>
      </c>
      <c r="G60" s="45">
        <f t="shared" si="20"/>
        <v>114868.04914875713</v>
      </c>
      <c r="AT60" s="4"/>
      <c r="AU60" s="4"/>
      <c r="AV60" s="4"/>
    </row>
    <row r="61" spans="1:48">
      <c r="A61" s="24" t="s">
        <v>127</v>
      </c>
      <c r="B61" s="33" t="s">
        <v>55</v>
      </c>
      <c r="C61" s="38">
        <v>6994068170</v>
      </c>
      <c r="D61" s="37">
        <f t="shared" si="17"/>
        <v>72.061960890966361</v>
      </c>
      <c r="E61" s="45">
        <f>$E$54*D61/100-48102</f>
        <v>7196402.9481258821</v>
      </c>
      <c r="F61" s="45">
        <f t="shared" si="19"/>
        <v>7235345.1522770319</v>
      </c>
      <c r="G61" s="45">
        <f t="shared" si="20"/>
        <v>7495817.433635083</v>
      </c>
      <c r="AT61" s="4"/>
      <c r="AU61" s="4"/>
      <c r="AV61" s="4"/>
    </row>
    <row r="62" spans="1:48">
      <c r="A62" s="25" t="s">
        <v>128</v>
      </c>
      <c r="B62" s="34" t="s">
        <v>56</v>
      </c>
      <c r="C62" s="40">
        <v>9882116613.8999996</v>
      </c>
      <c r="D62" s="39"/>
      <c r="E62" s="43">
        <v>10969085</v>
      </c>
      <c r="F62" s="43">
        <v>11012218</v>
      </c>
      <c r="G62" s="43">
        <v>11485744</v>
      </c>
      <c r="AT62" s="4"/>
      <c r="AU62" s="4"/>
      <c r="AV62" s="4"/>
    </row>
    <row r="63" spans="1:48" s="10" customFormat="1">
      <c r="A63" s="24" t="s">
        <v>129</v>
      </c>
      <c r="B63" s="33" t="s">
        <v>57</v>
      </c>
      <c r="C63" s="38">
        <v>113195000</v>
      </c>
      <c r="D63" s="37">
        <f>C63/$C$62*100</f>
        <v>1.1454529876806154</v>
      </c>
      <c r="E63" s="45">
        <f>$E$62*D63/100</f>
        <v>125645.71185372623</v>
      </c>
      <c r="F63" s="45">
        <f>$F$62*D63/100</f>
        <v>126139.78009090252</v>
      </c>
      <c r="G63" s="45">
        <f>$G$62*D63/100</f>
        <v>131563.79780534704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</row>
    <row r="64" spans="1:48">
      <c r="A64" s="24" t="s">
        <v>130</v>
      </c>
      <c r="B64" s="33" t="s">
        <v>58</v>
      </c>
      <c r="C64" s="38">
        <v>1600242900</v>
      </c>
      <c r="D64" s="37">
        <f>C64/$C$62*100</f>
        <v>16.193321355357497</v>
      </c>
      <c r="E64" s="45">
        <f>$E$62*D64/100-185653</f>
        <v>1590606.1837923161</v>
      </c>
      <c r="F64" s="45">
        <f t="shared" ref="F64:F67" si="21">$F$62*D64/100</f>
        <v>1783243.8490925222</v>
      </c>
      <c r="G64" s="45">
        <f t="shared" ref="G64:G67" si="22">$G$62*D64/100</f>
        <v>1859923.4359736925</v>
      </c>
      <c r="AT64" s="4"/>
      <c r="AU64" s="4"/>
      <c r="AV64" s="4"/>
    </row>
    <row r="65" spans="1:48">
      <c r="A65" s="24" t="s">
        <v>131</v>
      </c>
      <c r="B65" s="33" t="s">
        <v>59</v>
      </c>
      <c r="C65" s="38">
        <v>6864415701</v>
      </c>
      <c r="D65" s="37">
        <f>C65/$C$62*100</f>
        <v>69.46301049862781</v>
      </c>
      <c r="E65" s="45">
        <f t="shared" ref="E65" si="23">$E$62*D65/100</f>
        <v>7619456.6651534084</v>
      </c>
      <c r="F65" s="45">
        <f t="shared" si="21"/>
        <v>7649418.1454717815</v>
      </c>
      <c r="G65" s="45">
        <f t="shared" si="22"/>
        <v>7978343.5605655136</v>
      </c>
      <c r="AT65" s="4"/>
      <c r="AU65" s="4"/>
      <c r="AV65" s="4"/>
    </row>
    <row r="66" spans="1:48">
      <c r="A66" s="24" t="s">
        <v>132</v>
      </c>
      <c r="B66" s="33" t="s">
        <v>60</v>
      </c>
      <c r="C66" s="38">
        <v>970931452.89999998</v>
      </c>
      <c r="D66" s="37">
        <f>C66/$C$62*100</f>
        <v>9.8251365657262735</v>
      </c>
      <c r="E66" s="45">
        <v>1248825</v>
      </c>
      <c r="F66" s="45">
        <f t="shared" si="21"/>
        <v>1081965.4574154904</v>
      </c>
      <c r="G66" s="45">
        <f t="shared" si="22"/>
        <v>1128490.0335897114</v>
      </c>
      <c r="AT66" s="4"/>
      <c r="AU66" s="4"/>
      <c r="AV66" s="4"/>
    </row>
    <row r="67" spans="1:48" ht="31.5">
      <c r="A67" s="24" t="s">
        <v>133</v>
      </c>
      <c r="B67" s="33" t="s">
        <v>61</v>
      </c>
      <c r="C67" s="38">
        <v>333331560</v>
      </c>
      <c r="D67" s="37">
        <f>C67/$C$62*100</f>
        <v>3.3730785926078033</v>
      </c>
      <c r="E67" s="45">
        <v>384551</v>
      </c>
      <c r="F67" s="45">
        <f t="shared" si="21"/>
        <v>371450.76792930323</v>
      </c>
      <c r="G67" s="45">
        <f t="shared" si="22"/>
        <v>387423.17206573521</v>
      </c>
      <c r="AT67" s="4"/>
      <c r="AU67" s="4"/>
      <c r="AV67" s="4"/>
    </row>
    <row r="68" spans="1:48">
      <c r="A68" s="25" t="s">
        <v>134</v>
      </c>
      <c r="B68" s="34" t="s">
        <v>62</v>
      </c>
      <c r="C68" s="40">
        <v>747859111.79999995</v>
      </c>
      <c r="D68" s="39"/>
      <c r="E68" s="43">
        <v>790906</v>
      </c>
      <c r="F68" s="43">
        <v>567870</v>
      </c>
      <c r="G68" s="43">
        <v>608189</v>
      </c>
      <c r="AT68" s="4"/>
      <c r="AU68" s="4"/>
      <c r="AV68" s="4"/>
    </row>
    <row r="69" spans="1:48" s="10" customFormat="1">
      <c r="A69" s="24" t="s">
        <v>135</v>
      </c>
      <c r="B69" s="33" t="s">
        <v>63</v>
      </c>
      <c r="C69" s="38">
        <v>159015686.13999999</v>
      </c>
      <c r="D69" s="37">
        <f>C69/$C$68*100</f>
        <v>21.262786483575741</v>
      </c>
      <c r="E69" s="45">
        <f>$E$68*D69/100</f>
        <v>168168.65406578954</v>
      </c>
      <c r="F69" s="45">
        <f>$F$68*D69/100</f>
        <v>120744.98560428155</v>
      </c>
      <c r="G69" s="45">
        <f>$G$68*D69/100</f>
        <v>129317.92848659446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</row>
    <row r="70" spans="1:48">
      <c r="A70" s="24" t="s">
        <v>136</v>
      </c>
      <c r="B70" s="33" t="s">
        <v>64</v>
      </c>
      <c r="C70" s="38">
        <v>50320966.659999996</v>
      </c>
      <c r="D70" s="37">
        <f>C70/$C$68*100</f>
        <v>6.7286693263499799</v>
      </c>
      <c r="E70" s="45">
        <f t="shared" ref="E70" si="24">$E$68*D70/100</f>
        <v>53217.449422261576</v>
      </c>
      <c r="F70" s="45">
        <f t="shared" ref="F70" si="25">$F$68*D70/100</f>
        <v>38210.094503543631</v>
      </c>
      <c r="G70" s="45">
        <f t="shared" ref="G70" si="26">$G$68*D70/100</f>
        <v>40923.026689234677</v>
      </c>
      <c r="AT70" s="4"/>
      <c r="AU70" s="4"/>
      <c r="AV70" s="4"/>
    </row>
    <row r="71" spans="1:48">
      <c r="A71" s="24" t="s">
        <v>137</v>
      </c>
      <c r="B71" s="33" t="s">
        <v>65</v>
      </c>
      <c r="C71" s="38">
        <v>261112775</v>
      </c>
      <c r="D71" s="37">
        <f>C71/$C$68*100</f>
        <v>34.91470129601489</v>
      </c>
      <c r="E71" s="45">
        <v>305381</v>
      </c>
      <c r="F71" s="45">
        <v>272208</v>
      </c>
      <c r="G71" s="45">
        <v>293457</v>
      </c>
      <c r="AT71" s="4"/>
      <c r="AU71" s="4"/>
      <c r="AV71" s="4"/>
    </row>
    <row r="72" spans="1:48" ht="31.5">
      <c r="A72" s="24" t="s">
        <v>138</v>
      </c>
      <c r="B72" s="33" t="s">
        <v>66</v>
      </c>
      <c r="C72" s="38">
        <v>277409684</v>
      </c>
      <c r="D72" s="37">
        <f>C72/$C$68*100</f>
        <v>37.093842894059399</v>
      </c>
      <c r="E72" s="45">
        <f>$E$68*D72/100-29239</f>
        <v>264138.42907968943</v>
      </c>
      <c r="F72" s="45">
        <f>$F$68*D72/100-73938</f>
        <v>136706.80564249511</v>
      </c>
      <c r="G72" s="45">
        <f>$G$68*D72/100-81110</f>
        <v>144490.67215895091</v>
      </c>
      <c r="AT72" s="4"/>
      <c r="AU72" s="4"/>
      <c r="AV72" s="4"/>
    </row>
    <row r="73" spans="1:48">
      <c r="A73" s="25" t="s">
        <v>139</v>
      </c>
      <c r="B73" s="34" t="s">
        <v>67</v>
      </c>
      <c r="C73" s="40">
        <v>185297990</v>
      </c>
      <c r="D73" s="39"/>
      <c r="E73" s="43">
        <v>186850</v>
      </c>
      <c r="F73" s="43">
        <v>168165</v>
      </c>
      <c r="G73" s="43">
        <v>189252</v>
      </c>
      <c r="AT73" s="4"/>
      <c r="AU73" s="4"/>
      <c r="AV73" s="4"/>
    </row>
    <row r="74" spans="1:48" s="10" customFormat="1">
      <c r="A74" s="24" t="s">
        <v>140</v>
      </c>
      <c r="B74" s="33" t="s">
        <v>68</v>
      </c>
      <c r="C74" s="38">
        <v>79531900</v>
      </c>
      <c r="D74" s="37">
        <f>C74/$C$73*100</f>
        <v>42.921080795317856</v>
      </c>
      <c r="E74" s="45">
        <v>82083</v>
      </c>
      <c r="F74" s="45">
        <f>$F$73*D74/100</f>
        <v>72178.235519446273</v>
      </c>
      <c r="G74" s="45">
        <f>$G$73*D74/100</f>
        <v>81229.003826754953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</row>
    <row r="75" spans="1:48">
      <c r="A75" s="24" t="s">
        <v>141</v>
      </c>
      <c r="B75" s="33" t="s">
        <v>69</v>
      </c>
      <c r="C75" s="38">
        <v>104892300</v>
      </c>
      <c r="D75" s="37">
        <f>C75/$C$73*100</f>
        <v>56.607359853174877</v>
      </c>
      <c r="E75" s="45">
        <f>$E$73*D75/100-2840</f>
        <v>102930.85188565725</v>
      </c>
      <c r="F75" s="45">
        <f>$F$73*D75/100-307</f>
        <v>94886.766697091531</v>
      </c>
      <c r="G75" s="45">
        <f>$G$73*D75/100-223</f>
        <v>106907.56066933053</v>
      </c>
      <c r="AT75" s="4"/>
      <c r="AU75" s="4"/>
      <c r="AV75" s="4"/>
    </row>
    <row r="76" spans="1:48" ht="31.5">
      <c r="A76" s="24" t="s">
        <v>142</v>
      </c>
      <c r="B76" s="33" t="s">
        <v>70</v>
      </c>
      <c r="C76" s="38">
        <v>873790</v>
      </c>
      <c r="D76" s="37">
        <f>C76/$C$73*100</f>
        <v>0.47155935150726674</v>
      </c>
      <c r="E76" s="45">
        <v>1836</v>
      </c>
      <c r="F76" s="45">
        <v>1100</v>
      </c>
      <c r="G76" s="45">
        <v>1115</v>
      </c>
      <c r="AT76" s="4"/>
      <c r="AU76" s="4"/>
      <c r="AV76" s="4"/>
    </row>
    <row r="77" spans="1:48" ht="31.5">
      <c r="A77" s="25" t="s">
        <v>143</v>
      </c>
      <c r="B77" s="34" t="s">
        <v>71</v>
      </c>
      <c r="C77" s="40">
        <v>3262095700</v>
      </c>
      <c r="D77" s="39"/>
      <c r="E77" s="43">
        <v>3690200</v>
      </c>
      <c r="F77" s="43">
        <v>3379900</v>
      </c>
      <c r="G77" s="43">
        <v>3456800</v>
      </c>
      <c r="AT77" s="4"/>
      <c r="AU77" s="4"/>
      <c r="AV77" s="4"/>
    </row>
    <row r="78" spans="1:48" s="10" customFormat="1" ht="31.5">
      <c r="A78" s="24" t="s">
        <v>144</v>
      </c>
      <c r="B78" s="19" t="s">
        <v>154</v>
      </c>
      <c r="C78" s="38">
        <v>3262095700</v>
      </c>
      <c r="D78" s="37">
        <f>C78/C77*100</f>
        <v>100</v>
      </c>
      <c r="E78" s="45">
        <f>$E$77*D78/100</f>
        <v>3690200</v>
      </c>
      <c r="F78" s="45">
        <f>$F$77*D78/100</f>
        <v>3379900</v>
      </c>
      <c r="G78" s="45">
        <f>$G$77*D78/100</f>
        <v>3456800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</row>
    <row r="79" spans="1:48" s="10" customFormat="1">
      <c r="A79" s="11"/>
      <c r="B79" s="36" t="s">
        <v>153</v>
      </c>
      <c r="C79" s="40"/>
      <c r="D79" s="39"/>
      <c r="E79" s="43">
        <f>E77+E73+E68+E62+E54+E51+E44+E40+E35+E25+E20+E17+E8</f>
        <v>68008568.299999997</v>
      </c>
      <c r="F79" s="43">
        <f>F77+F73+F68+F62+F54+F51+F44+F40+F35+F25+F20+F17+F8</f>
        <v>62693734.799999997</v>
      </c>
      <c r="G79" s="43">
        <f>G77+G73+G68+G62+G54+G51+G44+G40+G35+G25+G20+G17+G8</f>
        <v>67167715.299999997</v>
      </c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</row>
    <row r="80" spans="1:48" hidden="1">
      <c r="C80" s="38">
        <v>70830700</v>
      </c>
      <c r="D80" s="41" t="e">
        <f>C80/$C$79*100</f>
        <v>#DIV/0!</v>
      </c>
      <c r="E80" s="8">
        <v>68008568.299999997</v>
      </c>
      <c r="G80" s="8">
        <v>67167715.299999997</v>
      </c>
      <c r="AT80" s="4"/>
      <c r="AU80" s="4"/>
      <c r="AV80" s="4"/>
    </row>
    <row r="83" spans="5:7">
      <c r="E83" s="47"/>
      <c r="F83" s="47"/>
      <c r="G83" s="47"/>
    </row>
  </sheetData>
  <mergeCells count="2">
    <mergeCell ref="B5:B6"/>
    <mergeCell ref="A2:G2"/>
  </mergeCells>
  <pageMargins left="0.23622047244094491" right="0.23622047244094491" top="0.47244094488188981" bottom="0.23622047244094491" header="0" footer="0"/>
  <pageSetup paperSize="9" scale="88" fitToHeight="0" orientation="portrait" r:id="rId1"/>
  <headerFooter>
    <evenFooter>&amp;L&amp;C&amp;R&amp;D&amp;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AY82"/>
  <sheetViews>
    <sheetView showGridLines="0" zoomScale="85" zoomScaleNormal="85" workbookViewId="0">
      <selection activeCell="D1" sqref="D1:D1048576"/>
    </sheetView>
  </sheetViews>
  <sheetFormatPr defaultColWidth="8.85546875" defaultRowHeight="15.75"/>
  <cols>
    <col min="1" max="1" width="13.42578125" style="1" customWidth="1"/>
    <col min="2" max="2" width="49.28515625" style="1" customWidth="1"/>
    <col min="3" max="3" width="18.28515625" style="1" customWidth="1"/>
    <col min="4" max="4" width="16.85546875" style="3" customWidth="1"/>
    <col min="5" max="5" width="16.28515625" style="3" customWidth="1"/>
    <col min="6" max="6" width="15.7109375" style="3" customWidth="1"/>
    <col min="7" max="7" width="15.5703125" style="4" customWidth="1"/>
    <col min="8" max="8" width="16.140625" style="4" customWidth="1"/>
    <col min="9" max="9" width="13.85546875" style="4" customWidth="1"/>
    <col min="10" max="51" width="8.85546875" style="4"/>
    <col min="52" max="16384" width="8.85546875" style="1"/>
  </cols>
  <sheetData>
    <row r="1" spans="1:51" ht="7.15" customHeight="1">
      <c r="B1" s="2"/>
      <c r="C1" s="2"/>
    </row>
    <row r="2" spans="1:51" ht="40.15" customHeight="1">
      <c r="A2" s="50" t="s">
        <v>152</v>
      </c>
      <c r="B2" s="50"/>
      <c r="C2" s="50"/>
      <c r="D2" s="50"/>
      <c r="E2" s="50"/>
      <c r="F2" s="50"/>
      <c r="G2" s="18"/>
      <c r="H2" s="18"/>
      <c r="I2" s="18"/>
    </row>
    <row r="3" spans="1:51" ht="27.6" hidden="1" customHeight="1">
      <c r="B3" s="5" t="s">
        <v>0</v>
      </c>
      <c r="C3" s="19"/>
    </row>
    <row r="4" spans="1:51" ht="15" customHeight="1">
      <c r="B4" s="19"/>
      <c r="C4" s="19"/>
      <c r="F4" s="20" t="s">
        <v>151</v>
      </c>
    </row>
    <row r="5" spans="1:51" s="10" customFormat="1" ht="40.9" customHeight="1">
      <c r="A5" s="21" t="s">
        <v>145</v>
      </c>
      <c r="B5" s="48" t="s">
        <v>146</v>
      </c>
      <c r="C5" s="31"/>
      <c r="D5" s="15" t="s">
        <v>147</v>
      </c>
      <c r="E5" s="16" t="s">
        <v>148</v>
      </c>
      <c r="F5" s="17" t="s">
        <v>149</v>
      </c>
      <c r="G5" s="11"/>
      <c r="H5" s="11"/>
      <c r="I5" s="11"/>
      <c r="J5" s="11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</row>
    <row r="6" spans="1:51" s="10" customFormat="1" ht="13.15" hidden="1" customHeight="1">
      <c r="A6" s="6"/>
      <c r="B6" s="49"/>
      <c r="C6" s="32"/>
      <c r="D6" s="7">
        <v>68008568.299999997</v>
      </c>
      <c r="E6" s="7">
        <v>62693734.799999997</v>
      </c>
      <c r="F6" s="8">
        <v>67167715.299999997</v>
      </c>
      <c r="G6" s="11"/>
      <c r="H6" s="11"/>
      <c r="I6" s="11"/>
      <c r="J6" s="11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</row>
    <row r="7" spans="1:51" s="10" customFormat="1" ht="13.15" customHeight="1">
      <c r="A7" s="21">
        <v>1</v>
      </c>
      <c r="B7" s="22">
        <v>2</v>
      </c>
      <c r="C7" s="22"/>
      <c r="D7" s="17">
        <v>3</v>
      </c>
      <c r="E7" s="17">
        <v>4</v>
      </c>
      <c r="F7" s="17">
        <v>5</v>
      </c>
      <c r="G7" s="11"/>
      <c r="H7" s="11"/>
      <c r="I7" s="11"/>
      <c r="J7" s="11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</row>
    <row r="8" spans="1:51" s="11" customFormat="1" ht="22.15" customHeight="1">
      <c r="A8" s="14" t="s">
        <v>73</v>
      </c>
      <c r="B8" s="13" t="s">
        <v>1</v>
      </c>
      <c r="C8" s="13"/>
      <c r="D8" s="26">
        <v>4290000</v>
      </c>
      <c r="E8" s="26">
        <v>3723930</v>
      </c>
      <c r="F8" s="26">
        <v>3687391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</row>
    <row r="9" spans="1:51" ht="63" customHeight="1">
      <c r="A9" s="23" t="s">
        <v>74</v>
      </c>
      <c r="B9" s="33" t="s">
        <v>2</v>
      </c>
      <c r="C9" s="35">
        <v>3.2</v>
      </c>
      <c r="D9" s="27">
        <f>D8*4.8/100</f>
        <v>205920</v>
      </c>
      <c r="E9" s="27">
        <f>E8*4.8/100</f>
        <v>178748.64</v>
      </c>
      <c r="F9" s="28">
        <f>F8*4.8/100</f>
        <v>176994.76800000001</v>
      </c>
      <c r="G9" s="29"/>
      <c r="H9" s="29"/>
      <c r="I9" s="29"/>
      <c r="J9" s="29"/>
    </row>
    <row r="10" spans="1:51" ht="63" customHeight="1">
      <c r="A10" s="24" t="s">
        <v>75</v>
      </c>
      <c r="B10" s="33" t="s">
        <v>3</v>
      </c>
      <c r="C10" s="35">
        <v>5.6</v>
      </c>
      <c r="D10" s="28">
        <f>D8*9.5/100</f>
        <v>407550</v>
      </c>
      <c r="E10" s="28">
        <f>E8*9.5/100</f>
        <v>353773.35</v>
      </c>
      <c r="F10" s="28">
        <f>F8*9.5/100</f>
        <v>350302.14500000002</v>
      </c>
      <c r="G10" s="29"/>
      <c r="H10" s="29"/>
      <c r="I10" s="29"/>
      <c r="J10" s="29"/>
    </row>
    <row r="11" spans="1:51" ht="63" customHeight="1">
      <c r="A11" s="24" t="s">
        <v>76</v>
      </c>
      <c r="B11" s="33" t="s">
        <v>4</v>
      </c>
      <c r="C11" s="35">
        <v>1.8</v>
      </c>
      <c r="D11" s="28">
        <f>D8*40.9/100-85.8</f>
        <v>1754524.2</v>
      </c>
      <c r="E11" s="28">
        <f>E8*40.9/100-74.5</f>
        <v>1523012.87</v>
      </c>
      <c r="F11" s="28">
        <f>F8*40.9/100-73.7</f>
        <v>1508069.219</v>
      </c>
      <c r="G11" s="29"/>
      <c r="H11" s="29"/>
      <c r="I11" s="29"/>
      <c r="J11" s="29"/>
    </row>
    <row r="12" spans="1:51" ht="18.600000000000001" customHeight="1">
      <c r="A12" s="24" t="s">
        <v>77</v>
      </c>
      <c r="B12" s="33" t="s">
        <v>5</v>
      </c>
      <c r="C12" s="35">
        <v>7.9</v>
      </c>
      <c r="D12" s="28">
        <f>D8*3.3/100</f>
        <v>141570</v>
      </c>
      <c r="E12" s="28">
        <f>E8*3.3/100</f>
        <v>122889.69</v>
      </c>
      <c r="F12" s="28">
        <f>F8*3.3/100</f>
        <v>121683.90299999999</v>
      </c>
      <c r="G12" s="29"/>
      <c r="H12" s="29"/>
      <c r="I12" s="29"/>
      <c r="J12" s="29"/>
    </row>
    <row r="13" spans="1:51" ht="47.25">
      <c r="A13" s="24" t="s">
        <v>78</v>
      </c>
      <c r="B13" s="33" t="s">
        <v>6</v>
      </c>
      <c r="C13" s="35"/>
      <c r="D13" s="28">
        <f>D8*9.1/100</f>
        <v>390390</v>
      </c>
      <c r="E13" s="28">
        <f>E8*9.1/100</f>
        <v>338877.63</v>
      </c>
      <c r="F13" s="28">
        <f>F8*9.1/100</f>
        <v>335552.58100000001</v>
      </c>
      <c r="G13" s="29"/>
      <c r="H13" s="29"/>
      <c r="I13" s="29"/>
      <c r="J13" s="29"/>
    </row>
    <row r="14" spans="1:51" ht="31.5">
      <c r="A14" s="24" t="s">
        <v>79</v>
      </c>
      <c r="B14" s="33" t="s">
        <v>7</v>
      </c>
      <c r="C14" s="35"/>
      <c r="D14" s="28">
        <f>D8*3.9/100</f>
        <v>167310</v>
      </c>
      <c r="E14" s="28">
        <f>E8*3.9/100</f>
        <v>145233.26999999999</v>
      </c>
      <c r="F14" s="28">
        <f>F8*3.9/100</f>
        <v>143808.24900000001</v>
      </c>
      <c r="G14" s="29"/>
      <c r="H14" s="29"/>
      <c r="I14" s="29"/>
      <c r="J14" s="29"/>
    </row>
    <row r="15" spans="1:51">
      <c r="A15" s="24" t="s">
        <v>80</v>
      </c>
      <c r="B15" s="33" t="s">
        <v>8</v>
      </c>
      <c r="C15" s="35"/>
      <c r="D15" s="28">
        <v>85.8</v>
      </c>
      <c r="E15" s="28">
        <v>74.5</v>
      </c>
      <c r="F15" s="28">
        <v>73.7</v>
      </c>
      <c r="G15" s="29"/>
      <c r="H15" s="29"/>
      <c r="I15" s="29"/>
      <c r="J15" s="29"/>
    </row>
    <row r="16" spans="1:51">
      <c r="A16" s="24" t="s">
        <v>81</v>
      </c>
      <c r="B16" s="33" t="s">
        <v>9</v>
      </c>
      <c r="C16" s="35"/>
      <c r="D16" s="28">
        <f>D8*28.5/100</f>
        <v>1222650</v>
      </c>
      <c r="E16" s="28">
        <f>E8*28.5/100</f>
        <v>1061320.05</v>
      </c>
      <c r="F16" s="28">
        <f>F8*28.5/100</f>
        <v>1050906.4350000001</v>
      </c>
      <c r="G16" s="29"/>
      <c r="H16" s="29"/>
      <c r="I16" s="29"/>
      <c r="J16" s="29"/>
    </row>
    <row r="17" spans="1:51" s="10" customFormat="1">
      <c r="A17" s="25" t="s">
        <v>82</v>
      </c>
      <c r="B17" s="34" t="s">
        <v>10</v>
      </c>
      <c r="C17" s="36"/>
      <c r="D17" s="26">
        <v>27848</v>
      </c>
      <c r="E17" s="26">
        <v>28348</v>
      </c>
      <c r="F17" s="26">
        <v>26948</v>
      </c>
      <c r="G17" s="11"/>
      <c r="H17" s="11"/>
      <c r="I17" s="11"/>
      <c r="J17" s="11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</row>
    <row r="18" spans="1:51">
      <c r="A18" s="24" t="s">
        <v>83</v>
      </c>
      <c r="B18" s="33" t="s">
        <v>11</v>
      </c>
      <c r="C18" s="35"/>
      <c r="D18" s="28">
        <f>D17*99.7/100</f>
        <v>27764.456000000002</v>
      </c>
      <c r="E18" s="28">
        <f>E17*99.7/100</f>
        <v>28262.956000000002</v>
      </c>
      <c r="F18" s="28">
        <f>F17*99.7/100</f>
        <v>26867.156000000003</v>
      </c>
      <c r="G18" s="29"/>
      <c r="H18" s="29"/>
      <c r="I18" s="29"/>
      <c r="J18" s="29"/>
    </row>
    <row r="19" spans="1:51">
      <c r="A19" s="24" t="s">
        <v>84</v>
      </c>
      <c r="B19" s="33" t="s">
        <v>12</v>
      </c>
      <c r="C19" s="35"/>
      <c r="D19" s="28">
        <f>D17*0.3/100</f>
        <v>83.543999999999997</v>
      </c>
      <c r="E19" s="28">
        <f>E17*0.3/100</f>
        <v>85.043999999999997</v>
      </c>
      <c r="F19" s="28">
        <f>F17*0.3/100</f>
        <v>80.843999999999994</v>
      </c>
      <c r="G19" s="29"/>
      <c r="H19" s="29"/>
      <c r="I19" s="29"/>
      <c r="J19" s="29"/>
    </row>
    <row r="20" spans="1:51" s="10" customFormat="1" ht="47.25">
      <c r="A20" s="25" t="s">
        <v>85</v>
      </c>
      <c r="B20" s="34" t="s">
        <v>13</v>
      </c>
      <c r="C20" s="36"/>
      <c r="D20" s="26">
        <v>722101</v>
      </c>
      <c r="E20" s="26">
        <v>649168</v>
      </c>
      <c r="F20" s="26">
        <v>671889</v>
      </c>
      <c r="G20" s="11"/>
      <c r="H20" s="11"/>
      <c r="I20" s="11"/>
      <c r="J20" s="11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</row>
    <row r="21" spans="1:51">
      <c r="A21" s="24" t="s">
        <v>86</v>
      </c>
      <c r="B21" s="33" t="s">
        <v>14</v>
      </c>
      <c r="C21" s="35"/>
      <c r="D21" s="28">
        <f>D20*0.1/100</f>
        <v>722.10100000000011</v>
      </c>
      <c r="E21" s="28">
        <f>E20*0.1/100</f>
        <v>649.16800000000001</v>
      </c>
      <c r="F21" s="28">
        <f>F20*0.1/100</f>
        <v>671.88900000000012</v>
      </c>
      <c r="G21" s="29"/>
      <c r="H21" s="29"/>
      <c r="I21" s="29"/>
      <c r="J21" s="29"/>
    </row>
    <row r="22" spans="1:51" ht="63">
      <c r="A22" s="24" t="s">
        <v>87</v>
      </c>
      <c r="B22" s="33" t="s">
        <v>15</v>
      </c>
      <c r="C22" s="35"/>
      <c r="D22" s="28">
        <f>D20*26.9/100</f>
        <v>194245.16899999999</v>
      </c>
      <c r="E22" s="28">
        <f>E20*26.9/100</f>
        <v>174626.19199999998</v>
      </c>
      <c r="F22" s="28">
        <f>F20*26.9/100</f>
        <v>180738.14099999997</v>
      </c>
      <c r="G22" s="29"/>
      <c r="H22" s="29"/>
      <c r="I22" s="29"/>
      <c r="J22" s="29"/>
    </row>
    <row r="23" spans="1:51">
      <c r="A23" s="24" t="s">
        <v>88</v>
      </c>
      <c r="B23" s="33" t="s">
        <v>16</v>
      </c>
      <c r="C23" s="35"/>
      <c r="D23" s="28">
        <f>D20*58.5/100-722.1</f>
        <v>421706.98500000004</v>
      </c>
      <c r="E23" s="28">
        <f>E20*58.5/100-649.2</f>
        <v>379114.08</v>
      </c>
      <c r="F23" s="28">
        <f>F20*58.5/100-671.9</f>
        <v>392383.16499999998</v>
      </c>
      <c r="G23" s="29"/>
      <c r="H23" s="29"/>
      <c r="I23" s="29"/>
      <c r="J23" s="29"/>
    </row>
    <row r="24" spans="1:51">
      <c r="A24" s="24" t="s">
        <v>89</v>
      </c>
      <c r="B24" s="33" t="s">
        <v>17</v>
      </c>
      <c r="C24" s="35"/>
      <c r="D24" s="28">
        <f>D20*0.2/100</f>
        <v>1444.2020000000002</v>
      </c>
      <c r="E24" s="28">
        <f>E20*0.2/100</f>
        <v>1298.336</v>
      </c>
      <c r="F24" s="28">
        <f>F20*0.2/100</f>
        <v>1343.7780000000002</v>
      </c>
      <c r="G24" s="29"/>
      <c r="H24" s="29"/>
      <c r="I24" s="29"/>
      <c r="J24" s="29"/>
    </row>
    <row r="25" spans="1:51" ht="34.15" customHeight="1">
      <c r="A25" s="24" t="s">
        <v>90</v>
      </c>
      <c r="B25" s="33" t="s">
        <v>18</v>
      </c>
      <c r="C25" s="35"/>
      <c r="D25" s="28">
        <f>D20*14.4/100</f>
        <v>103982.54400000001</v>
      </c>
      <c r="E25" s="28">
        <f>E20*14.4/100</f>
        <v>93480.19200000001</v>
      </c>
      <c r="F25" s="28">
        <f>F20*14.4/100</f>
        <v>96752.016000000003</v>
      </c>
      <c r="G25" s="29"/>
      <c r="H25" s="29"/>
      <c r="I25" s="29"/>
      <c r="J25" s="29"/>
    </row>
    <row r="26" spans="1:51" s="10" customFormat="1">
      <c r="A26" s="25" t="s">
        <v>91</v>
      </c>
      <c r="B26" s="34" t="s">
        <v>19</v>
      </c>
      <c r="C26" s="36"/>
      <c r="D26" s="26">
        <v>10871454</v>
      </c>
      <c r="E26" s="26">
        <v>8240562</v>
      </c>
      <c r="F26" s="26">
        <v>10948219</v>
      </c>
      <c r="G26" s="11"/>
      <c r="H26" s="11"/>
      <c r="I26" s="11"/>
      <c r="J26" s="11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</row>
    <row r="27" spans="1:51">
      <c r="A27" s="24" t="s">
        <v>92</v>
      </c>
      <c r="B27" s="33" t="s">
        <v>20</v>
      </c>
      <c r="C27" s="35"/>
      <c r="D27" s="28">
        <f>D26*5.8/100</f>
        <v>630544.33199999994</v>
      </c>
      <c r="E27" s="28">
        <f>E26*5.8/100</f>
        <v>477952.59600000002</v>
      </c>
      <c r="F27" s="28">
        <f>F26*5.8/100</f>
        <v>634996.70199999993</v>
      </c>
      <c r="G27" s="29"/>
      <c r="H27" s="29"/>
      <c r="I27" s="29"/>
      <c r="J27" s="29"/>
    </row>
    <row r="28" spans="1:51">
      <c r="A28" s="24" t="s">
        <v>93</v>
      </c>
      <c r="B28" s="33" t="s">
        <v>21</v>
      </c>
      <c r="C28" s="35"/>
      <c r="D28" s="28">
        <f>D26*0.03/100</f>
        <v>3261.4362000000001</v>
      </c>
      <c r="E28" s="28">
        <f>E26*0.03/100</f>
        <v>2472.1686</v>
      </c>
      <c r="F28" s="28">
        <f>F26*0.03/100</f>
        <v>3284.4657000000002</v>
      </c>
      <c r="G28" s="29"/>
      <c r="H28" s="29"/>
      <c r="I28" s="29"/>
      <c r="J28" s="29"/>
    </row>
    <row r="29" spans="1:51">
      <c r="A29" s="24" t="s">
        <v>94</v>
      </c>
      <c r="B29" s="33" t="s">
        <v>22</v>
      </c>
      <c r="C29" s="35"/>
      <c r="D29" s="28">
        <f>D26*27.1/100</f>
        <v>2946164.0340000005</v>
      </c>
      <c r="E29" s="28">
        <f>E26*27.1/100</f>
        <v>2233192.3020000001</v>
      </c>
      <c r="F29" s="28">
        <f>F26*27.1/100</f>
        <v>2966967.3490000004</v>
      </c>
      <c r="G29" s="29"/>
      <c r="H29" s="29"/>
      <c r="I29" s="29"/>
      <c r="J29" s="29"/>
    </row>
    <row r="30" spans="1:51">
      <c r="A30" s="24" t="s">
        <v>95</v>
      </c>
      <c r="B30" s="33" t="s">
        <v>23</v>
      </c>
      <c r="C30" s="35"/>
      <c r="D30" s="28">
        <f>D26*1.5/100</f>
        <v>163071.81</v>
      </c>
      <c r="E30" s="28">
        <f>E26*1.5/100</f>
        <v>123608.43</v>
      </c>
      <c r="F30" s="28">
        <f>F26*1.5/100</f>
        <v>164223.285</v>
      </c>
      <c r="G30" s="29"/>
      <c r="H30" s="29"/>
      <c r="I30" s="29"/>
      <c r="J30" s="29"/>
    </row>
    <row r="31" spans="1:51">
      <c r="A31" s="24" t="s">
        <v>96</v>
      </c>
      <c r="B31" s="33" t="s">
        <v>24</v>
      </c>
      <c r="C31" s="35"/>
      <c r="D31" s="28">
        <f>D26*3.3/100</f>
        <v>358757.98199999996</v>
      </c>
      <c r="E31" s="28">
        <f>E26*3.3/100</f>
        <v>271938.54599999997</v>
      </c>
      <c r="F31" s="28">
        <f>F26*3.3/100</f>
        <v>361291.22699999996</v>
      </c>
      <c r="G31" s="29"/>
      <c r="H31" s="29"/>
      <c r="I31" s="29"/>
      <c r="J31" s="29"/>
    </row>
    <row r="32" spans="1:51">
      <c r="A32" s="24" t="s">
        <v>97</v>
      </c>
      <c r="B32" s="33" t="s">
        <v>25</v>
      </c>
      <c r="C32" s="35"/>
      <c r="D32" s="28">
        <f>D26*1.1/100</f>
        <v>119585.99400000001</v>
      </c>
      <c r="E32" s="28">
        <f>E26*1.1/100</f>
        <v>90646.182000000015</v>
      </c>
      <c r="F32" s="28">
        <f>F26*1.1/100</f>
        <v>120430.409</v>
      </c>
      <c r="G32" s="29"/>
      <c r="H32" s="29"/>
      <c r="I32" s="29"/>
      <c r="J32" s="29"/>
    </row>
    <row r="33" spans="1:51">
      <c r="A33" s="24" t="s">
        <v>98</v>
      </c>
      <c r="B33" s="33" t="s">
        <v>26</v>
      </c>
      <c r="C33" s="35"/>
      <c r="D33" s="28">
        <f>D26*56.3/100+7610</f>
        <v>6128238.601999999</v>
      </c>
      <c r="E33" s="28">
        <f>E26*56.3/100+5768.4</f>
        <v>4645204.8059999999</v>
      </c>
      <c r="F33" s="28">
        <f>F26*56.3/100+7663.8</f>
        <v>6171511.0969999991</v>
      </c>
      <c r="G33" s="29"/>
      <c r="H33" s="29"/>
      <c r="I33" s="29"/>
      <c r="J33" s="29"/>
    </row>
    <row r="34" spans="1:51">
      <c r="A34" s="24" t="s">
        <v>99</v>
      </c>
      <c r="B34" s="33" t="s">
        <v>27</v>
      </c>
      <c r="C34" s="35"/>
      <c r="D34" s="28">
        <f>D26*0.2/100</f>
        <v>21742.908000000003</v>
      </c>
      <c r="E34" s="28">
        <f>E26*0.2/100</f>
        <v>16481.124</v>
      </c>
      <c r="F34" s="28">
        <f>F26*0.2/100</f>
        <v>21896.438000000002</v>
      </c>
      <c r="G34" s="29"/>
      <c r="H34" s="29"/>
      <c r="I34" s="29"/>
      <c r="J34" s="29"/>
    </row>
    <row r="35" spans="1:51" ht="31.5">
      <c r="A35" s="24" t="s">
        <v>100</v>
      </c>
      <c r="B35" s="33" t="s">
        <v>28</v>
      </c>
      <c r="C35" s="35"/>
      <c r="D35" s="28">
        <f>D26*4.6/100</f>
        <v>500086.88399999996</v>
      </c>
      <c r="E35" s="28">
        <f>E26*4.6/100</f>
        <v>379065.85199999996</v>
      </c>
      <c r="F35" s="28">
        <f>F26*4.6/100</f>
        <v>503618.07399999996</v>
      </c>
      <c r="G35" s="29"/>
      <c r="H35" s="29"/>
      <c r="I35" s="29"/>
      <c r="J35" s="29"/>
    </row>
    <row r="36" spans="1:51" s="10" customFormat="1" ht="31.5">
      <c r="A36" s="25" t="s">
        <v>101</v>
      </c>
      <c r="B36" s="34" t="s">
        <v>29</v>
      </c>
      <c r="C36" s="36"/>
      <c r="D36" s="26">
        <v>2500124</v>
      </c>
      <c r="E36" s="26">
        <v>1677583</v>
      </c>
      <c r="F36" s="26">
        <v>1678519</v>
      </c>
      <c r="G36" s="11"/>
      <c r="H36" s="11"/>
      <c r="I36" s="11"/>
      <c r="J36" s="11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</row>
    <row r="37" spans="1:51">
      <c r="A37" s="24" t="s">
        <v>102</v>
      </c>
      <c r="B37" s="33" t="s">
        <v>30</v>
      </c>
      <c r="C37" s="35"/>
      <c r="D37" s="28">
        <f>D36*27.7/100</f>
        <v>692534.348</v>
      </c>
      <c r="E37" s="28">
        <f>E36*27.7/100</f>
        <v>464690.49100000004</v>
      </c>
      <c r="F37" s="28">
        <f>F36*27.7/100</f>
        <v>464949.76299999998</v>
      </c>
      <c r="G37" s="29"/>
      <c r="H37" s="29"/>
      <c r="I37" s="29"/>
      <c r="J37" s="29"/>
    </row>
    <row r="38" spans="1:51">
      <c r="A38" s="24" t="s">
        <v>103</v>
      </c>
      <c r="B38" s="33" t="s">
        <v>31</v>
      </c>
      <c r="C38" s="35"/>
      <c r="D38" s="28">
        <f>D36*36.4/100+2500.1</f>
        <v>912545.23599999992</v>
      </c>
      <c r="E38" s="28">
        <f>E36*36.4/100+1677.6</f>
        <v>612317.81199999992</v>
      </c>
      <c r="F38" s="28">
        <f>F36*36.4/100+1678.5</f>
        <v>612659.41599999997</v>
      </c>
      <c r="G38" s="29"/>
      <c r="H38" s="29"/>
      <c r="I38" s="29"/>
      <c r="J38" s="29"/>
    </row>
    <row r="39" spans="1:51">
      <c r="A39" s="24" t="s">
        <v>104</v>
      </c>
      <c r="B39" s="33" t="s">
        <v>32</v>
      </c>
      <c r="C39" s="35"/>
      <c r="D39" s="28">
        <f>D36*27.9/100</f>
        <v>697534.5959999999</v>
      </c>
      <c r="E39" s="28">
        <f>E36*27.9/100</f>
        <v>468045.65699999995</v>
      </c>
      <c r="F39" s="28">
        <f>F36*27.9/100</f>
        <v>468306.80099999992</v>
      </c>
      <c r="G39" s="29"/>
      <c r="H39" s="29"/>
      <c r="I39" s="29"/>
      <c r="J39" s="29"/>
    </row>
    <row r="40" spans="1:51" ht="31.5">
      <c r="A40" s="24" t="s">
        <v>105</v>
      </c>
      <c r="B40" s="33" t="s">
        <v>33</v>
      </c>
      <c r="C40" s="35"/>
      <c r="D40" s="28">
        <f>D36*7.9/100</f>
        <v>197509.796</v>
      </c>
      <c r="E40" s="28">
        <f>E36*7.9/100</f>
        <v>132529.057</v>
      </c>
      <c r="F40" s="28">
        <f>F36*7.9/100</f>
        <v>132603.00100000002</v>
      </c>
      <c r="G40" s="29"/>
      <c r="H40" s="29"/>
      <c r="I40" s="29"/>
      <c r="J40" s="29"/>
    </row>
    <row r="41" spans="1:51" s="10" customFormat="1">
      <c r="A41" s="25" t="s">
        <v>106</v>
      </c>
      <c r="B41" s="34" t="s">
        <v>34</v>
      </c>
      <c r="C41" s="36"/>
      <c r="D41" s="26">
        <v>131069</v>
      </c>
      <c r="E41" s="26">
        <v>63568</v>
      </c>
      <c r="F41" s="26">
        <v>66620</v>
      </c>
      <c r="G41" s="11"/>
      <c r="H41" s="11"/>
      <c r="I41" s="11"/>
      <c r="J41" s="11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</row>
    <row r="42" spans="1:51">
      <c r="A42" s="24" t="s">
        <v>107</v>
      </c>
      <c r="B42" s="33" t="s">
        <v>35</v>
      </c>
      <c r="C42" s="35"/>
      <c r="D42" s="28">
        <v>33.700000000000003</v>
      </c>
      <c r="E42" s="28">
        <v>16.399999999999999</v>
      </c>
      <c r="F42" s="28">
        <v>17.100000000000001</v>
      </c>
      <c r="G42" s="29"/>
      <c r="H42" s="29"/>
      <c r="I42" s="29"/>
      <c r="J42" s="29"/>
    </row>
    <row r="43" spans="1:51" ht="31.5">
      <c r="A43" s="24" t="s">
        <v>108</v>
      </c>
      <c r="B43" s="33" t="s">
        <v>36</v>
      </c>
      <c r="C43" s="35"/>
      <c r="D43" s="28">
        <f>D41*83.1/100-33.7</f>
        <v>108884.63899999998</v>
      </c>
      <c r="E43" s="28">
        <f>E41*83.1/100-16.4</f>
        <v>52808.608</v>
      </c>
      <c r="F43" s="28">
        <f>F41*83.1/100-17.1</f>
        <v>55344.12</v>
      </c>
      <c r="G43" s="29"/>
      <c r="H43" s="29"/>
      <c r="I43" s="29"/>
      <c r="J43" s="29"/>
    </row>
    <row r="44" spans="1:51" ht="31.5">
      <c r="A44" s="24" t="s">
        <v>109</v>
      </c>
      <c r="B44" s="33" t="s">
        <v>37</v>
      </c>
      <c r="C44" s="35"/>
      <c r="D44" s="28">
        <f>D41*16.9/100</f>
        <v>22150.660999999996</v>
      </c>
      <c r="E44" s="28">
        <f>E41*16.9/100</f>
        <v>10742.992</v>
      </c>
      <c r="F44" s="28">
        <f>F41*16.9/100</f>
        <v>11258.78</v>
      </c>
      <c r="G44" s="29"/>
      <c r="H44" s="29"/>
      <c r="I44" s="29"/>
      <c r="J44" s="29"/>
    </row>
    <row r="45" spans="1:51" s="10" customFormat="1">
      <c r="A45" s="25" t="s">
        <v>110</v>
      </c>
      <c r="B45" s="34" t="s">
        <v>38</v>
      </c>
      <c r="C45" s="36"/>
      <c r="D45" s="26">
        <v>22136782.300000001</v>
      </c>
      <c r="E45" s="26">
        <v>21742277.800000001</v>
      </c>
      <c r="F45" s="26">
        <v>22459762.300000001</v>
      </c>
      <c r="G45" s="11"/>
      <c r="H45" s="11"/>
      <c r="I45" s="11"/>
      <c r="J45" s="11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</row>
    <row r="46" spans="1:51">
      <c r="A46" s="24" t="s">
        <v>111</v>
      </c>
      <c r="B46" s="33" t="s">
        <v>39</v>
      </c>
      <c r="C46" s="35"/>
      <c r="D46" s="28">
        <f>D45*32.6/100</f>
        <v>7216591.0298000006</v>
      </c>
      <c r="E46" s="28">
        <f>E45*32.6/100</f>
        <v>7087982.5628000014</v>
      </c>
      <c r="F46" s="28">
        <f>F45*32.6/100</f>
        <v>7321882.5098000001</v>
      </c>
      <c r="G46" s="29"/>
      <c r="H46" s="29"/>
      <c r="I46" s="29"/>
      <c r="J46" s="29"/>
    </row>
    <row r="47" spans="1:51">
      <c r="A47" s="24" t="s">
        <v>112</v>
      </c>
      <c r="B47" s="33" t="s">
        <v>40</v>
      </c>
      <c r="C47" s="35"/>
      <c r="D47" s="28">
        <f>D45*52.3/100-22136.8</f>
        <v>11555400.342899999</v>
      </c>
      <c r="E47" s="28">
        <f>E45*52.3/100-21742.3</f>
        <v>11349468.989399999</v>
      </c>
      <c r="F47" s="28">
        <f>F45*52.3/100-22459.7</f>
        <v>11723995.982900001</v>
      </c>
      <c r="G47" s="29"/>
      <c r="H47" s="29"/>
      <c r="I47" s="29"/>
      <c r="J47" s="29"/>
    </row>
    <row r="48" spans="1:51">
      <c r="A48" s="24" t="s">
        <v>113</v>
      </c>
      <c r="B48" s="33" t="s">
        <v>41</v>
      </c>
      <c r="C48" s="35"/>
      <c r="D48" s="28">
        <f>D45*7.1/100</f>
        <v>1571711.5432999998</v>
      </c>
      <c r="E48" s="28">
        <f>E45*7.1/100</f>
        <v>1543701.7238</v>
      </c>
      <c r="F48" s="28">
        <f>F45*7.1/100</f>
        <v>1594643.1232999999</v>
      </c>
      <c r="G48" s="29"/>
      <c r="H48" s="29"/>
      <c r="I48" s="29"/>
      <c r="J48" s="29"/>
    </row>
    <row r="49" spans="1:51" ht="31.5">
      <c r="A49" s="24" t="s">
        <v>114</v>
      </c>
      <c r="B49" s="33" t="s">
        <v>42</v>
      </c>
      <c r="C49" s="35"/>
      <c r="D49" s="28">
        <f>D45*0.3/100</f>
        <v>66410.346900000004</v>
      </c>
      <c r="E49" s="28">
        <f>E45*0.3/100</f>
        <v>65226.833399999996</v>
      </c>
      <c r="F49" s="28">
        <f>F45*0.3/100</f>
        <v>67379.286900000006</v>
      </c>
      <c r="G49" s="29"/>
      <c r="H49" s="29"/>
      <c r="I49" s="29"/>
      <c r="J49" s="29"/>
    </row>
    <row r="50" spans="1:51">
      <c r="A50" s="24" t="s">
        <v>115</v>
      </c>
      <c r="B50" s="33" t="s">
        <v>43</v>
      </c>
      <c r="C50" s="35"/>
      <c r="D50" s="28">
        <f>D45*1.3/100</f>
        <v>287778.16990000004</v>
      </c>
      <c r="E50" s="28">
        <f>E45*1.3/100</f>
        <v>282649.61139999999</v>
      </c>
      <c r="F50" s="28">
        <f>F45*1.3/100</f>
        <v>291976.90990000003</v>
      </c>
      <c r="G50" s="29"/>
      <c r="H50" s="29"/>
      <c r="I50" s="29"/>
      <c r="J50" s="29"/>
    </row>
    <row r="51" spans="1:51">
      <c r="A51" s="24" t="s">
        <v>116</v>
      </c>
      <c r="B51" s="33" t="s">
        <v>44</v>
      </c>
      <c r="C51" s="35"/>
      <c r="D51" s="28">
        <f>D45*6.5/100</f>
        <v>1438890.8495000002</v>
      </c>
      <c r="E51" s="28">
        <f>E45*6.5/100</f>
        <v>1413248.0570000003</v>
      </c>
      <c r="F51" s="28">
        <f>F45*6.5/100</f>
        <v>1459884.5495000002</v>
      </c>
      <c r="G51" s="29"/>
      <c r="H51" s="29"/>
      <c r="I51" s="29"/>
      <c r="J51" s="29"/>
    </row>
    <row r="52" spans="1:51" s="10" customFormat="1">
      <c r="A52" s="25" t="s">
        <v>117</v>
      </c>
      <c r="B52" s="34" t="s">
        <v>45</v>
      </c>
      <c r="C52" s="36"/>
      <c r="D52" s="26">
        <v>1638988</v>
      </c>
      <c r="E52" s="26">
        <v>1399695</v>
      </c>
      <c r="F52" s="26">
        <v>1486476</v>
      </c>
      <c r="G52" s="11"/>
      <c r="H52" s="11"/>
      <c r="I52" s="11"/>
      <c r="J52" s="11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</row>
    <row r="53" spans="1:51">
      <c r="A53" s="24" t="s">
        <v>118</v>
      </c>
      <c r="B53" s="33" t="s">
        <v>46</v>
      </c>
      <c r="C53" s="35"/>
      <c r="D53" s="28">
        <f>D52*87.5/100</f>
        <v>1434114.5</v>
      </c>
      <c r="E53" s="28">
        <f>E52*87.5/100</f>
        <v>1224733.125</v>
      </c>
      <c r="F53" s="28">
        <f>F52*87.5/100</f>
        <v>1300666.5</v>
      </c>
      <c r="G53" s="29"/>
      <c r="H53" s="29"/>
      <c r="I53" s="29"/>
      <c r="J53" s="29"/>
    </row>
    <row r="54" spans="1:51" ht="31.5">
      <c r="A54" s="24" t="s">
        <v>119</v>
      </c>
      <c r="B54" s="33" t="s">
        <v>47</v>
      </c>
      <c r="C54" s="35"/>
      <c r="D54" s="28">
        <f>D52*12.5/100</f>
        <v>204873.5</v>
      </c>
      <c r="E54" s="28">
        <f>E52*12.5/100</f>
        <v>174961.875</v>
      </c>
      <c r="F54" s="28">
        <f>F52*12.5/100</f>
        <v>185809.5</v>
      </c>
      <c r="G54" s="29"/>
      <c r="H54" s="29"/>
      <c r="I54" s="29"/>
      <c r="J54" s="29"/>
    </row>
    <row r="55" spans="1:51" s="10" customFormat="1">
      <c r="A55" s="25" t="s">
        <v>120</v>
      </c>
      <c r="B55" s="34" t="s">
        <v>48</v>
      </c>
      <c r="C55" s="36"/>
      <c r="D55" s="26">
        <v>10053161</v>
      </c>
      <c r="E55" s="26">
        <v>10040450</v>
      </c>
      <c r="F55" s="26">
        <v>10401906</v>
      </c>
      <c r="G55" s="11"/>
      <c r="H55" s="11"/>
      <c r="I55" s="11"/>
      <c r="J55" s="11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1:51">
      <c r="A56" s="24" t="s">
        <v>121</v>
      </c>
      <c r="B56" s="33" t="s">
        <v>49</v>
      </c>
      <c r="C56" s="35"/>
      <c r="D56" s="28">
        <f>D55*12.6/100</f>
        <v>1266698.2859999998</v>
      </c>
      <c r="E56" s="28">
        <f>E55*12.6/100</f>
        <v>1265096.7</v>
      </c>
      <c r="F56" s="28">
        <f>F55*12.6/100</f>
        <v>1310640.156</v>
      </c>
      <c r="G56" s="29"/>
      <c r="H56" s="30"/>
      <c r="I56" s="29"/>
      <c r="J56" s="29"/>
    </row>
    <row r="57" spans="1:51">
      <c r="A57" s="24" t="s">
        <v>122</v>
      </c>
      <c r="B57" s="33" t="s">
        <v>50</v>
      </c>
      <c r="C57" s="35"/>
      <c r="D57" s="28">
        <f>D55*10/100</f>
        <v>1005316.1</v>
      </c>
      <c r="E57" s="28">
        <f>E55*10/100</f>
        <v>1004045</v>
      </c>
      <c r="F57" s="28">
        <f>F55*10/100</f>
        <v>1040190.6</v>
      </c>
      <c r="G57" s="29"/>
      <c r="H57" s="29"/>
      <c r="I57" s="29"/>
      <c r="J57" s="29"/>
    </row>
    <row r="58" spans="1:51" ht="31.5">
      <c r="A58" s="24" t="s">
        <v>123</v>
      </c>
      <c r="B58" s="33" t="s">
        <v>51</v>
      </c>
      <c r="C58" s="35"/>
      <c r="D58" s="28">
        <f>D55*0.2/100</f>
        <v>20106.322</v>
      </c>
      <c r="E58" s="28">
        <f>E55*0.2/100</f>
        <v>20080.900000000001</v>
      </c>
      <c r="F58" s="28">
        <f>F55*0.2/100</f>
        <v>20803.812000000002</v>
      </c>
      <c r="G58" s="29"/>
      <c r="H58" s="29"/>
      <c r="I58" s="29"/>
      <c r="J58" s="29"/>
    </row>
    <row r="59" spans="1:51">
      <c r="A59" s="24" t="s">
        <v>124</v>
      </c>
      <c r="B59" s="33" t="s">
        <v>52</v>
      </c>
      <c r="C59" s="35"/>
      <c r="D59" s="28">
        <f>D55*0.3/100</f>
        <v>30159.482999999997</v>
      </c>
      <c r="E59" s="28">
        <f>E55*0.3/100</f>
        <v>30121.35</v>
      </c>
      <c r="F59" s="28">
        <f>F55*0.3/100</f>
        <v>31205.717999999997</v>
      </c>
      <c r="G59" s="29"/>
      <c r="H59" s="29"/>
      <c r="I59" s="29"/>
      <c r="J59" s="29"/>
    </row>
    <row r="60" spans="1:51">
      <c r="A60" s="24" t="s">
        <v>125</v>
      </c>
      <c r="B60" s="33" t="s">
        <v>53</v>
      </c>
      <c r="C60" s="35"/>
      <c r="D60" s="28">
        <f>D55*1.9/100</f>
        <v>191010.05899999998</v>
      </c>
      <c r="E60" s="28">
        <f>E55*1.9/100</f>
        <v>190768.55</v>
      </c>
      <c r="F60" s="28">
        <f>F55*1.9/100</f>
        <v>197636.21399999998</v>
      </c>
      <c r="G60" s="29"/>
      <c r="H60" s="29"/>
      <c r="I60" s="29"/>
      <c r="J60" s="29"/>
    </row>
    <row r="61" spans="1:51" ht="47.25">
      <c r="A61" s="24" t="s">
        <v>126</v>
      </c>
      <c r="B61" s="33" t="s">
        <v>54</v>
      </c>
      <c r="C61" s="35"/>
      <c r="D61" s="28">
        <f>D55*0.7/100</f>
        <v>70372.126999999993</v>
      </c>
      <c r="E61" s="28">
        <f>E55*0.7/100</f>
        <v>70283.149999999994</v>
      </c>
      <c r="F61" s="28">
        <f>F55*0.7/100</f>
        <v>72813.34199999999</v>
      </c>
      <c r="G61" s="29"/>
      <c r="H61" s="29"/>
      <c r="I61" s="29"/>
      <c r="J61" s="29"/>
    </row>
    <row r="62" spans="1:51">
      <c r="A62" s="24" t="s">
        <v>127</v>
      </c>
      <c r="B62" s="33" t="s">
        <v>55</v>
      </c>
      <c r="C62" s="35"/>
      <c r="D62" s="28">
        <f>D55*74.3/100</f>
        <v>7469498.6229999997</v>
      </c>
      <c r="E62" s="28">
        <f>E55*74.3/100</f>
        <v>7460054.3499999996</v>
      </c>
      <c r="F62" s="28">
        <f>F55*74.3/100</f>
        <v>7728616.1579999998</v>
      </c>
      <c r="G62" s="29"/>
      <c r="H62" s="29"/>
      <c r="I62" s="29"/>
      <c r="J62" s="29"/>
    </row>
    <row r="63" spans="1:51" s="10" customFormat="1">
      <c r="A63" s="25" t="s">
        <v>128</v>
      </c>
      <c r="B63" s="34" t="s">
        <v>56</v>
      </c>
      <c r="C63" s="36"/>
      <c r="D63" s="26">
        <v>10969085</v>
      </c>
      <c r="E63" s="26">
        <v>12012218</v>
      </c>
      <c r="F63" s="26">
        <v>11485744</v>
      </c>
      <c r="G63" s="11"/>
      <c r="H63" s="11"/>
      <c r="I63" s="11"/>
      <c r="J63" s="11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</row>
    <row r="64" spans="1:51">
      <c r="A64" s="24" t="s">
        <v>129</v>
      </c>
      <c r="B64" s="33" t="s">
        <v>57</v>
      </c>
      <c r="C64" s="35"/>
      <c r="D64" s="28">
        <f>D63*1.2/100</f>
        <v>131629.01999999999</v>
      </c>
      <c r="E64" s="28">
        <f>E63*1.2/100</f>
        <v>144146.61600000001</v>
      </c>
      <c r="F64" s="28">
        <f>F63*1.2/100</f>
        <v>137828.92799999999</v>
      </c>
      <c r="G64" s="29"/>
      <c r="H64" s="29"/>
      <c r="I64" s="29"/>
      <c r="J64" s="29"/>
    </row>
    <row r="65" spans="1:51">
      <c r="A65" s="24" t="s">
        <v>130</v>
      </c>
      <c r="B65" s="33" t="s">
        <v>58</v>
      </c>
      <c r="C65" s="35"/>
      <c r="D65" s="28">
        <f>D63*16.4/100</f>
        <v>1798929.9399999997</v>
      </c>
      <c r="E65" s="28">
        <f>E63*16.4/100</f>
        <v>1970003.7519999999</v>
      </c>
      <c r="F65" s="28">
        <f>F63*16.4/100</f>
        <v>1883662.0159999998</v>
      </c>
      <c r="G65" s="29"/>
      <c r="H65" s="29"/>
      <c r="I65" s="29"/>
      <c r="J65" s="29"/>
    </row>
    <row r="66" spans="1:51">
      <c r="A66" s="24" t="s">
        <v>131</v>
      </c>
      <c r="B66" s="33" t="s">
        <v>59</v>
      </c>
      <c r="C66" s="35"/>
      <c r="D66" s="28">
        <f>D63*70.2/100</f>
        <v>7700297.6699999999</v>
      </c>
      <c r="E66" s="28">
        <f>E63*70.2/100</f>
        <v>8432577.0360000003</v>
      </c>
      <c r="F66" s="28">
        <f>F63*70.2/100</f>
        <v>8062992.2880000006</v>
      </c>
      <c r="G66" s="29"/>
      <c r="H66" s="29"/>
      <c r="I66" s="29"/>
      <c r="J66" s="29"/>
    </row>
    <row r="67" spans="1:51">
      <c r="A67" s="24" t="s">
        <v>132</v>
      </c>
      <c r="B67" s="33" t="s">
        <v>60</v>
      </c>
      <c r="C67" s="35"/>
      <c r="D67" s="28">
        <f>D63*8.6/100</f>
        <v>943341.31</v>
      </c>
      <c r="E67" s="28">
        <f>E63*8.6/100</f>
        <v>1033050.748</v>
      </c>
      <c r="F67" s="28">
        <f>F63*8.6/100</f>
        <v>987773.98399999994</v>
      </c>
      <c r="G67" s="29"/>
      <c r="H67" s="29"/>
      <c r="I67" s="29"/>
      <c r="J67" s="29"/>
    </row>
    <row r="68" spans="1:51" ht="31.5">
      <c r="A68" s="24" t="s">
        <v>133</v>
      </c>
      <c r="B68" s="33" t="s">
        <v>61</v>
      </c>
      <c r="C68" s="35"/>
      <c r="D68" s="28">
        <f>D63*3.6/100</f>
        <v>394887.06</v>
      </c>
      <c r="E68" s="28">
        <f>E63*3.6/100</f>
        <v>432439.84800000006</v>
      </c>
      <c r="F68" s="28">
        <f>F63*3.6/100</f>
        <v>413486.78399999999</v>
      </c>
      <c r="G68" s="29"/>
      <c r="H68" s="29"/>
      <c r="I68" s="29"/>
      <c r="J68" s="29"/>
    </row>
    <row r="69" spans="1:51" s="10" customFormat="1">
      <c r="A69" s="25" t="s">
        <v>134</v>
      </c>
      <c r="B69" s="34" t="s">
        <v>62</v>
      </c>
      <c r="C69" s="36"/>
      <c r="D69" s="26">
        <v>790906</v>
      </c>
      <c r="E69" s="26">
        <v>567870</v>
      </c>
      <c r="F69" s="26">
        <v>608189</v>
      </c>
      <c r="G69" s="11"/>
      <c r="H69" s="11"/>
      <c r="I69" s="11"/>
      <c r="J69" s="11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</row>
    <row r="70" spans="1:51">
      <c r="A70" s="24" t="s">
        <v>135</v>
      </c>
      <c r="B70" s="33" t="s">
        <v>63</v>
      </c>
      <c r="C70" s="35"/>
      <c r="D70" s="28">
        <f>D69*37.2/100</f>
        <v>294217.03200000001</v>
      </c>
      <c r="E70" s="28">
        <f>E69*37.2/100</f>
        <v>211247.64</v>
      </c>
      <c r="F70" s="28">
        <f>F69*37.2/100</f>
        <v>226246.30800000002</v>
      </c>
      <c r="G70" s="29"/>
      <c r="H70" s="29"/>
      <c r="I70" s="29"/>
      <c r="J70" s="29"/>
    </row>
    <row r="71" spans="1:51">
      <c r="A71" s="24" t="s">
        <v>136</v>
      </c>
      <c r="B71" s="33" t="s">
        <v>64</v>
      </c>
      <c r="C71" s="35"/>
      <c r="D71" s="28">
        <f>D69*10.6/100</f>
        <v>83836.035999999993</v>
      </c>
      <c r="E71" s="28">
        <f>E69*10.6/100</f>
        <v>60194.22</v>
      </c>
      <c r="F71" s="28">
        <f>F69*10.6/100</f>
        <v>64468.033999999992</v>
      </c>
      <c r="G71" s="29"/>
      <c r="H71" s="29"/>
      <c r="I71" s="29"/>
      <c r="J71" s="29"/>
    </row>
    <row r="72" spans="1:51">
      <c r="A72" s="24" t="s">
        <v>137</v>
      </c>
      <c r="B72" s="33" t="s">
        <v>65</v>
      </c>
      <c r="C72" s="35"/>
      <c r="D72" s="28">
        <f>D69*28/100</f>
        <v>221453.68</v>
      </c>
      <c r="E72" s="28">
        <f>E69*28/100</f>
        <v>159003.6</v>
      </c>
      <c r="F72" s="28">
        <f>F69*28/100</f>
        <v>170292.92</v>
      </c>
      <c r="G72" s="29"/>
      <c r="H72" s="29"/>
      <c r="I72" s="29"/>
      <c r="J72" s="29"/>
    </row>
    <row r="73" spans="1:51" ht="31.5">
      <c r="A73" s="24" t="s">
        <v>138</v>
      </c>
      <c r="B73" s="33" t="s">
        <v>66</v>
      </c>
      <c r="C73" s="35"/>
      <c r="D73" s="28">
        <f>D69*24.2/100</f>
        <v>191399.25199999998</v>
      </c>
      <c r="E73" s="28">
        <f>E69*24.2/100</f>
        <v>137424.54</v>
      </c>
      <c r="F73" s="28">
        <f>F69*24.2/100</f>
        <v>147181.73799999998</v>
      </c>
      <c r="G73" s="29"/>
      <c r="H73" s="29"/>
      <c r="I73" s="29"/>
      <c r="J73" s="29"/>
    </row>
    <row r="74" spans="1:51" s="10" customFormat="1">
      <c r="A74" s="25" t="s">
        <v>139</v>
      </c>
      <c r="B74" s="34" t="s">
        <v>67</v>
      </c>
      <c r="C74" s="36"/>
      <c r="D74" s="26">
        <v>186850</v>
      </c>
      <c r="E74" s="26">
        <v>168165</v>
      </c>
      <c r="F74" s="26">
        <v>189252</v>
      </c>
      <c r="G74" s="11"/>
      <c r="H74" s="11"/>
      <c r="I74" s="11"/>
      <c r="J74" s="11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</row>
    <row r="75" spans="1:51">
      <c r="A75" s="24" t="s">
        <v>140</v>
      </c>
      <c r="B75" s="33" t="s">
        <v>68</v>
      </c>
      <c r="C75" s="35"/>
      <c r="D75" s="28">
        <f>D74*44.4/100</f>
        <v>82961.399999999994</v>
      </c>
      <c r="E75" s="28">
        <f>E74*44.4/100</f>
        <v>74665.259999999995</v>
      </c>
      <c r="F75" s="28">
        <f>F74*44.4/100</f>
        <v>84027.887999999992</v>
      </c>
      <c r="G75" s="29"/>
      <c r="H75" s="29"/>
      <c r="I75" s="29"/>
      <c r="J75" s="29"/>
    </row>
    <row r="76" spans="1:51">
      <c r="A76" s="24" t="s">
        <v>141</v>
      </c>
      <c r="B76" s="33" t="s">
        <v>69</v>
      </c>
      <c r="C76" s="35"/>
      <c r="D76" s="28">
        <f>D74*54/100</f>
        <v>100899</v>
      </c>
      <c r="E76" s="28">
        <f>E74*54/100</f>
        <v>90809.1</v>
      </c>
      <c r="F76" s="28">
        <f>F74*54/100</f>
        <v>102196.08</v>
      </c>
      <c r="G76" s="29"/>
      <c r="H76" s="29"/>
      <c r="I76" s="29"/>
      <c r="J76" s="29"/>
    </row>
    <row r="77" spans="1:51" ht="31.5">
      <c r="A77" s="24" t="s">
        <v>142</v>
      </c>
      <c r="B77" s="33" t="s">
        <v>70</v>
      </c>
      <c r="C77" s="35"/>
      <c r="D77" s="28">
        <f>D74*1.6/100</f>
        <v>2989.6</v>
      </c>
      <c r="E77" s="28">
        <f>E74*1.6/100</f>
        <v>2690.64</v>
      </c>
      <c r="F77" s="28">
        <f>F74*1.6/100</f>
        <v>3028.0320000000002</v>
      </c>
      <c r="G77" s="29"/>
      <c r="H77" s="29"/>
      <c r="I77" s="29"/>
      <c r="J77" s="29"/>
    </row>
    <row r="78" spans="1:51" s="10" customFormat="1" ht="31.5">
      <c r="A78" s="25" t="s">
        <v>143</v>
      </c>
      <c r="B78" s="34" t="s">
        <v>71</v>
      </c>
      <c r="C78" s="36"/>
      <c r="D78" s="26">
        <v>3690200</v>
      </c>
      <c r="E78" s="26">
        <v>3379900</v>
      </c>
      <c r="F78" s="26">
        <v>3456800</v>
      </c>
      <c r="G78" s="11"/>
      <c r="H78" s="11"/>
      <c r="I78" s="11"/>
      <c r="J78" s="11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</row>
    <row r="79" spans="1:51" ht="31.5">
      <c r="A79" s="24" t="s">
        <v>144</v>
      </c>
      <c r="B79" s="33" t="s">
        <v>72</v>
      </c>
      <c r="C79" s="35"/>
      <c r="D79" s="28">
        <f>D78</f>
        <v>3690200</v>
      </c>
      <c r="E79" s="28">
        <f>E78</f>
        <v>3379900</v>
      </c>
      <c r="F79" s="28">
        <f>F78</f>
        <v>3456800</v>
      </c>
      <c r="G79" s="29"/>
      <c r="H79" s="29"/>
      <c r="I79" s="29"/>
      <c r="J79" s="29"/>
    </row>
    <row r="80" spans="1:51" s="10" customFormat="1" ht="13.15" customHeight="1">
      <c r="A80" s="11"/>
      <c r="B80" s="12" t="s">
        <v>150</v>
      </c>
      <c r="C80" s="12"/>
      <c r="D80" s="8">
        <v>68008568.299999997</v>
      </c>
      <c r="E80" s="8">
        <v>62693734.799999997</v>
      </c>
      <c r="F80" s="8">
        <v>67167715.299999997</v>
      </c>
      <c r="G80" s="11"/>
      <c r="H80" s="11"/>
      <c r="I80" s="11"/>
      <c r="J80" s="11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</row>
    <row r="82" spans="4:6" hidden="1">
      <c r="D82" s="3" t="e">
        <f>#REF!+D78+D74+D69+D63+D55+D52+D45+D41+D36+D26+D20+D17+D8</f>
        <v>#REF!</v>
      </c>
      <c r="E82" s="3" t="e">
        <f>#REF!+E78+E74+E69+E63+E55+E52+E45+E41+E36+E26+E20+E17+E8</f>
        <v>#REF!</v>
      </c>
      <c r="F82" s="3" t="e">
        <f>#REF!+F78+F74+F69+F63+F55+F52+F45+F41+F36+F26+F20+F17+F8</f>
        <v>#REF!</v>
      </c>
    </row>
  </sheetData>
  <mergeCells count="2">
    <mergeCell ref="B5:B6"/>
    <mergeCell ref="A2:F2"/>
  </mergeCells>
  <pageMargins left="0.23622047244094491" right="0.23622047244094491" top="0.47244094488188981" bottom="0.23622047244094491" header="0" footer="0"/>
  <pageSetup paperSize="9" scale="88" fitToHeight="0" orientation="portrait" r:id="rId1"/>
  <headerFooter>
    <evenFooter>&amp;L&amp;C&amp;R&amp;D&amp; СТР. 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КБ</vt:lpstr>
      <vt:lpstr>Расходы</vt:lpstr>
    </vt:vector>
  </TitlesOfParts>
  <Company>ООО Кейсистемс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Шакирова Раушания Рафаиловна</dc:creator>
  <cp:lastModifiedBy>kubasheva</cp:lastModifiedBy>
  <cp:lastPrinted>2014-12-12T11:53:20Z</cp:lastPrinted>
  <dcterms:created xsi:type="dcterms:W3CDTF">2014-11-24T10:37:46Z</dcterms:created>
  <dcterms:modified xsi:type="dcterms:W3CDTF">2014-12-12T11:57:02Z</dcterms:modified>
</cp:coreProperties>
</file>